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My project\co-author Paper\co-author revisions\final_reaction-3April2024\ACP_template\"/>
    </mc:Choice>
  </mc:AlternateContent>
  <bookViews>
    <workbookView xWindow="0" yWindow="0" windowWidth="23040" windowHeight="9192" activeTab="1"/>
  </bookViews>
  <sheets>
    <sheet name="D_eff_calcs" sheetId="1" r:id="rId1"/>
    <sheet name="Deff_prolate_ellipsoid_comment"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0" i="1" l="1"/>
  <c r="J18" i="1"/>
  <c r="H9" i="2"/>
  <c r="G9" i="2"/>
  <c r="H7" i="2"/>
  <c r="G7" i="2"/>
  <c r="J8" i="2"/>
  <c r="K6" i="2"/>
  <c r="J25" i="1" l="1"/>
  <c r="M6" i="2"/>
  <c r="H20" i="1"/>
  <c r="K20" i="1"/>
  <c r="E5" i="1"/>
  <c r="E6" i="1"/>
  <c r="E7" i="1"/>
  <c r="E8" i="1"/>
  <c r="E9" i="1"/>
  <c r="E10" i="1"/>
  <c r="E11" i="1"/>
  <c r="E12" i="1"/>
  <c r="E13" i="1"/>
  <c r="E14" i="1"/>
  <c r="E15" i="1"/>
  <c r="E16" i="1"/>
  <c r="E17" i="1"/>
  <c r="E4" i="1"/>
  <c r="F4" i="1"/>
  <c r="B4" i="1"/>
  <c r="C4" i="1" s="1"/>
  <c r="C1" i="1"/>
  <c r="H18" i="1" s="1"/>
  <c r="F16" i="1"/>
  <c r="F15" i="1"/>
  <c r="F14" i="1"/>
  <c r="F13" i="1"/>
  <c r="F11" i="1"/>
  <c r="F9" i="1"/>
  <c r="F10" i="1"/>
  <c r="F8" i="1"/>
  <c r="F7" i="1"/>
  <c r="F5" i="1"/>
  <c r="F6" i="1"/>
  <c r="L6" i="2" l="1"/>
  <c r="J6" i="2"/>
  <c r="I6" i="2"/>
  <c r="F18" i="1"/>
  <c r="D4" i="1"/>
  <c r="J4" i="1" s="1"/>
  <c r="B5" i="1"/>
  <c r="L8" i="2" l="1"/>
  <c r="I8" i="2"/>
  <c r="K8" i="2" s="1"/>
  <c r="I4" i="1"/>
  <c r="G4" i="1"/>
  <c r="D5" i="1"/>
  <c r="J5" i="1" s="1"/>
  <c r="I5" i="1" s="1"/>
  <c r="C5" i="1"/>
  <c r="B6" i="1"/>
  <c r="M8" i="2" l="1"/>
  <c r="J7" i="2"/>
  <c r="L7" i="2"/>
  <c r="I7" i="2"/>
  <c r="K7" i="2" s="1"/>
  <c r="M7" i="2" s="1"/>
  <c r="G5" i="1"/>
  <c r="C6" i="1"/>
  <c r="D6" i="1"/>
  <c r="J6" i="1" s="1"/>
  <c r="I6" i="1" s="1"/>
  <c r="B7" i="1"/>
  <c r="I9" i="2" l="1"/>
  <c r="K9" i="2" s="1"/>
  <c r="M9" i="2" s="1"/>
  <c r="J9" i="2"/>
  <c r="L9" i="2"/>
  <c r="G6" i="1"/>
  <c r="C7" i="1"/>
  <c r="D7" i="1"/>
  <c r="B8" i="1"/>
  <c r="J7" i="1" l="1"/>
  <c r="G7" i="1"/>
  <c r="C8" i="1"/>
  <c r="D8" i="1"/>
  <c r="J8" i="1" s="1"/>
  <c r="I8" i="1" s="1"/>
  <c r="B9" i="1"/>
  <c r="I7" i="1" l="1"/>
  <c r="G8" i="1"/>
  <c r="C9" i="1"/>
  <c r="D9" i="1"/>
  <c r="J9" i="1" s="1"/>
  <c r="I9" i="1" s="1"/>
  <c r="B10" i="1"/>
  <c r="G9" i="1" l="1"/>
  <c r="D10" i="1"/>
  <c r="J10" i="1" s="1"/>
  <c r="I10" i="1" s="1"/>
  <c r="C10" i="1"/>
  <c r="B11" i="1"/>
  <c r="G10" i="1" l="1"/>
  <c r="D11" i="1"/>
  <c r="C11" i="1"/>
  <c r="B12" i="1"/>
  <c r="J11" i="1" l="1"/>
  <c r="I11" i="1" s="1"/>
  <c r="G11" i="1"/>
  <c r="C12" i="1"/>
  <c r="D12" i="1"/>
  <c r="J12" i="1" s="1"/>
  <c r="I12" i="1" s="1"/>
  <c r="B13" i="1"/>
  <c r="G12" i="1" l="1"/>
  <c r="D13" i="1"/>
  <c r="J13" i="1" s="1"/>
  <c r="I13" i="1" s="1"/>
  <c r="C13" i="1"/>
  <c r="B14" i="1"/>
  <c r="G13" i="1" l="1"/>
  <c r="C14" i="1"/>
  <c r="D14" i="1"/>
  <c r="J14" i="1" s="1"/>
  <c r="I14" i="1" s="1"/>
  <c r="B15" i="1"/>
  <c r="G14" i="1" l="1"/>
  <c r="C15" i="1"/>
  <c r="D15" i="1"/>
  <c r="J15" i="1" s="1"/>
  <c r="I15" i="1" s="1"/>
  <c r="B16" i="1"/>
  <c r="G15" i="1" l="1"/>
  <c r="B17" i="1"/>
  <c r="C16" i="1"/>
  <c r="D16" i="1"/>
  <c r="J16" i="1" s="1"/>
  <c r="I16" i="1" s="1"/>
  <c r="G16" i="1" l="1"/>
  <c r="C17" i="1"/>
  <c r="D17" i="1"/>
  <c r="G21" i="1" l="1"/>
  <c r="J17" i="1"/>
  <c r="G17" i="1"/>
  <c r="G18" i="1" s="1"/>
  <c r="I17" i="1" l="1"/>
  <c r="I18" i="1" s="1"/>
  <c r="I20" i="1" s="1"/>
  <c r="J21" i="1" l="1"/>
  <c r="G22" i="1"/>
  <c r="G23" i="1" s="1"/>
</calcChain>
</file>

<file path=xl/comments1.xml><?xml version="1.0" encoding="utf-8"?>
<comments xmlns="http://schemas.openxmlformats.org/spreadsheetml/2006/main">
  <authors>
    <author>Norman T. O'Neill</author>
  </authors>
  <commentList>
    <comment ref="F1" authorId="0" shapeId="0">
      <text>
        <r>
          <rPr>
            <b/>
            <sz val="9"/>
            <color indexed="81"/>
            <rFont val="Tahoma"/>
            <charset val="1"/>
          </rPr>
          <t>Norman T. O'Neill:</t>
        </r>
        <r>
          <rPr>
            <sz val="9"/>
            <color indexed="81"/>
            <rFont val="Tahoma"/>
            <charset val="1"/>
          </rPr>
          <t xml:space="preserve">
From Figure 2 in Kok (2011): values were eyeballed estimates of the mean in each of the 14 bins </t>
        </r>
      </text>
    </comment>
    <comment ref="G1" authorId="0" shapeId="0">
      <text>
        <r>
          <rPr>
            <b/>
            <sz val="9"/>
            <color indexed="81"/>
            <rFont val="Tahoma"/>
            <charset val="1"/>
          </rPr>
          <t>Norman T. O'Neill:</t>
        </r>
        <r>
          <rPr>
            <sz val="9"/>
            <color indexed="81"/>
            <rFont val="Tahoma"/>
            <charset val="1"/>
          </rPr>
          <t xml:space="preserve">
Particle projected-surface distribution assuming spherical particles. "s</t>
        </r>
        <r>
          <rPr>
            <vertAlign val="subscript"/>
            <sz val="11"/>
            <color indexed="81"/>
            <rFont val="Tahoma"/>
            <family val="2"/>
          </rPr>
          <t>sp</t>
        </r>
        <r>
          <rPr>
            <sz val="9"/>
            <color indexed="81"/>
            <rFont val="Tahoma"/>
            <charset val="1"/>
          </rPr>
          <t>(D</t>
        </r>
        <r>
          <rPr>
            <vertAlign val="subscript"/>
            <sz val="11"/>
            <color indexed="81"/>
            <rFont val="Tahoma"/>
            <family val="2"/>
          </rPr>
          <t>i</t>
        </r>
        <r>
          <rPr>
            <sz val="9"/>
            <color indexed="81"/>
            <rFont val="Tahoma"/>
            <charset val="1"/>
          </rPr>
          <t>)" is the projected cross sectional area of a sphere of diameter D</t>
        </r>
        <r>
          <rPr>
            <vertAlign val="subscript"/>
            <sz val="11"/>
            <color indexed="81"/>
            <rFont val="Tahoma"/>
            <family val="2"/>
          </rPr>
          <t>i</t>
        </r>
      </text>
    </comment>
    <comment ref="H1" authorId="0" shapeId="0">
      <text>
        <r>
          <rPr>
            <b/>
            <sz val="9"/>
            <color indexed="81"/>
            <rFont val="Tahoma"/>
            <charset val="1"/>
          </rPr>
          <t>Norman T. O'Neill:</t>
        </r>
        <r>
          <rPr>
            <sz val="9"/>
            <color indexed="81"/>
            <rFont val="Tahoma"/>
            <charset val="1"/>
          </rPr>
          <t xml:space="preserve">
From Figure 3 in Kok (2011): values were eyeballed estimates of the mean in each of the 14 bins </t>
        </r>
      </text>
    </comment>
    <comment ref="I1" authorId="0" shapeId="0">
      <text>
        <r>
          <rPr>
            <b/>
            <sz val="9"/>
            <color indexed="81"/>
            <rFont val="Tahoma"/>
            <charset val="1"/>
          </rPr>
          <t>Norman T. O'Neill:</t>
        </r>
        <r>
          <rPr>
            <sz val="9"/>
            <color indexed="81"/>
            <rFont val="Tahoma"/>
            <charset val="1"/>
          </rPr>
          <t xml:space="preserve">
Kok's use of the term "normalized" in the expressions "normalized number size distribution" and "normalized volume size distribution" (in the captions of Fig. 2 and 3) appears to be inconsistent (his volume distribution yields, for example, an unrealistically small value of  D</t>
        </r>
        <r>
          <rPr>
            <vertAlign val="subscript"/>
            <sz val="11"/>
            <color indexed="81"/>
            <rFont val="Tahoma"/>
            <family val="2"/>
          </rPr>
          <t>eff</t>
        </r>
        <r>
          <rPr>
            <sz val="9"/>
            <color indexed="81"/>
            <rFont val="Tahoma"/>
            <charset val="1"/>
          </rPr>
          <t xml:space="preserve"> which is induced by the "</t>
        </r>
        <r>
          <rPr>
            <sz val="9"/>
            <color indexed="81"/>
            <rFont val="Tahoma"/>
            <family val="2"/>
          </rPr>
          <t>Nominal dv / dlnD (Kok)"</t>
        </r>
        <r>
          <rPr>
            <sz val="9"/>
            <color indexed="81"/>
            <rFont val="Tahoma"/>
            <charset val="1"/>
          </rPr>
          <t xml:space="preserve"> being significantly less than the spherical  expression of v</t>
        </r>
        <r>
          <rPr>
            <vertAlign val="subscript"/>
            <sz val="11"/>
            <color indexed="81"/>
            <rFont val="Tahoma"/>
            <family val="2"/>
          </rPr>
          <t>sp</t>
        </r>
        <r>
          <rPr>
            <sz val="9"/>
            <color indexed="81"/>
            <rFont val="Tahoma"/>
            <charset val="1"/>
          </rPr>
          <t>(D) x [dn / dlnD (Kok)]. C</t>
        </r>
        <r>
          <rPr>
            <vertAlign val="subscript"/>
            <sz val="11"/>
            <color indexed="81"/>
            <rFont val="Tahoma"/>
            <family val="2"/>
          </rPr>
          <t>Kok</t>
        </r>
        <r>
          <rPr>
            <sz val="9"/>
            <color indexed="81"/>
            <rFont val="Tahoma"/>
            <charset val="1"/>
          </rPr>
          <t xml:space="preserve"> times the "normalized number size distribution" of equation (5) should approximately equal the "normalized volume size distribution" of equation (6). This column deals with that correction</t>
        </r>
      </text>
    </comment>
    <comment ref="J1" authorId="0" shapeId="0">
      <text>
        <r>
          <rPr>
            <b/>
            <sz val="9"/>
            <color indexed="81"/>
            <rFont val="Tahoma"/>
            <charset val="1"/>
          </rPr>
          <t>Norman T. O'Neill:</t>
        </r>
        <r>
          <rPr>
            <sz val="9"/>
            <color indexed="81"/>
            <rFont val="Tahoma"/>
            <charset val="1"/>
          </rPr>
          <t xml:space="preserve">
Particle volume distribution assuming spherical particles. "v</t>
        </r>
        <r>
          <rPr>
            <vertAlign val="subscript"/>
            <sz val="11"/>
            <color indexed="81"/>
            <rFont val="Tahoma"/>
            <family val="2"/>
          </rPr>
          <t>sp</t>
        </r>
        <r>
          <rPr>
            <sz val="9"/>
            <color indexed="81"/>
            <rFont val="Tahoma"/>
            <charset val="1"/>
          </rPr>
          <t>(D</t>
        </r>
        <r>
          <rPr>
            <vertAlign val="subscript"/>
            <sz val="11"/>
            <color indexed="81"/>
            <rFont val="Tahoma"/>
            <family val="2"/>
          </rPr>
          <t>i</t>
        </r>
        <r>
          <rPr>
            <sz val="9"/>
            <color indexed="81"/>
            <rFont val="Tahoma"/>
            <charset val="1"/>
          </rPr>
          <t xml:space="preserve">)" is the volume of a sphere (4/3 </t>
        </r>
        <r>
          <rPr>
            <sz val="9"/>
            <color indexed="81"/>
            <rFont val="Symbol"/>
            <family val="1"/>
            <charset val="2"/>
          </rPr>
          <t>p</t>
        </r>
        <r>
          <rPr>
            <sz val="9"/>
            <color indexed="81"/>
            <rFont val="Tahoma"/>
            <charset val="1"/>
          </rPr>
          <t xml:space="preserve"> D</t>
        </r>
        <r>
          <rPr>
            <vertAlign val="superscript"/>
            <sz val="11"/>
            <color indexed="81"/>
            <rFont val="Tahoma"/>
            <family val="2"/>
          </rPr>
          <t>2</t>
        </r>
        <r>
          <rPr>
            <sz val="9"/>
            <color indexed="81"/>
            <rFont val="Tahoma"/>
            <charset val="1"/>
          </rPr>
          <t>/4)</t>
        </r>
      </text>
    </comment>
    <comment ref="C3" authorId="0" shapeId="0">
      <text>
        <r>
          <rPr>
            <b/>
            <sz val="9"/>
            <color indexed="81"/>
            <rFont val="Tahoma"/>
            <family val="2"/>
          </rPr>
          <t>Norman T. O'Neill:</t>
        </r>
        <r>
          <rPr>
            <sz val="9"/>
            <color indexed="81"/>
            <rFont val="Tahoma"/>
            <family val="2"/>
          </rPr>
          <t xml:space="preserve">
Left edge of bin i</t>
        </r>
      </text>
    </comment>
    <comment ref="D3" authorId="0" shapeId="0">
      <text>
        <r>
          <rPr>
            <b/>
            <sz val="9"/>
            <color indexed="81"/>
            <rFont val="Tahoma"/>
            <family val="2"/>
          </rPr>
          <t>Norman T. O'Neill:</t>
        </r>
        <r>
          <rPr>
            <sz val="9"/>
            <color indexed="81"/>
            <rFont val="Tahoma"/>
            <family val="2"/>
          </rPr>
          <t xml:space="preserve">
Center of bin i</t>
        </r>
      </text>
    </comment>
    <comment ref="F18" authorId="0" shapeId="0">
      <text>
        <r>
          <rPr>
            <b/>
            <sz val="9"/>
            <color indexed="81"/>
            <rFont val="Tahoma"/>
            <charset val="1"/>
          </rPr>
          <t>Norman T. O'Neill:</t>
        </r>
        <r>
          <rPr>
            <sz val="9"/>
            <color indexed="81"/>
            <rFont val="Tahoma"/>
            <charset val="1"/>
          </rPr>
          <t xml:space="preserve">
n (norm) = integration of (dn / dlnD)</t>
        </r>
        <r>
          <rPr>
            <vertAlign val="subscript"/>
            <sz val="11"/>
            <color indexed="81"/>
            <rFont val="Tahoma"/>
            <family val="2"/>
          </rPr>
          <t xml:space="preserve">i </t>
        </r>
        <r>
          <rPr>
            <sz val="9"/>
            <color indexed="81"/>
            <rFont val="Tahoma"/>
            <family val="2"/>
          </rPr>
          <t>(norm)</t>
        </r>
      </text>
    </comment>
    <comment ref="G18" authorId="0" shapeId="0">
      <text>
        <r>
          <rPr>
            <b/>
            <sz val="9"/>
            <color indexed="81"/>
            <rFont val="Tahoma"/>
            <charset val="1"/>
          </rPr>
          <t>Norman T. O'Neill:</t>
        </r>
        <r>
          <rPr>
            <sz val="9"/>
            <color indexed="81"/>
            <rFont val="Tahoma"/>
            <charset val="1"/>
          </rPr>
          <t xml:space="preserve">
s</t>
        </r>
        <r>
          <rPr>
            <vertAlign val="subscript"/>
            <sz val="11"/>
            <color indexed="81"/>
            <rFont val="Tahoma"/>
            <family val="2"/>
          </rPr>
          <t>sp</t>
        </r>
        <r>
          <rPr>
            <sz val="9"/>
            <color indexed="81"/>
            <rFont val="Tahoma"/>
            <charset val="1"/>
          </rPr>
          <t xml:space="preserve"> = quadrature integration of s</t>
        </r>
        <r>
          <rPr>
            <vertAlign val="subscript"/>
            <sz val="11"/>
            <color indexed="81"/>
            <rFont val="Tahoma"/>
            <family val="2"/>
          </rPr>
          <t>sp</t>
        </r>
        <r>
          <rPr>
            <sz val="9"/>
            <color indexed="81"/>
            <rFont val="Tahoma"/>
            <charset val="1"/>
          </rPr>
          <t xml:space="preserve">(D) </t>
        </r>
        <r>
          <rPr>
            <sz val="9"/>
            <color indexed="81"/>
            <rFont val="Tahoma"/>
            <family val="2"/>
          </rPr>
          <t>d</t>
        </r>
        <r>
          <rPr>
            <sz val="9"/>
            <color indexed="81"/>
            <rFont val="Tahoma"/>
            <charset val="1"/>
          </rPr>
          <t xml:space="preserve">n / </t>
        </r>
        <r>
          <rPr>
            <sz val="9"/>
            <color indexed="81"/>
            <rFont val="Tahoma"/>
            <family val="2"/>
          </rPr>
          <t>d</t>
        </r>
        <r>
          <rPr>
            <sz val="9"/>
            <color indexed="81"/>
            <rFont val="Tahoma"/>
            <charset val="1"/>
          </rPr>
          <t>lnD</t>
        </r>
      </text>
    </comment>
    <comment ref="H18" authorId="0" shapeId="0">
      <text>
        <r>
          <rPr>
            <b/>
            <sz val="9"/>
            <color indexed="81"/>
            <rFont val="Tahoma"/>
            <charset val="1"/>
          </rPr>
          <t>Norman T. O'Neill:</t>
        </r>
        <r>
          <rPr>
            <sz val="9"/>
            <color indexed="81"/>
            <rFont val="Tahoma"/>
            <charset val="1"/>
          </rPr>
          <t xml:space="preserve">
v</t>
        </r>
        <r>
          <rPr>
            <vertAlign val="subscript"/>
            <sz val="9"/>
            <color indexed="81"/>
            <rFont val="Tahoma"/>
            <family val="2"/>
          </rPr>
          <t>Kok</t>
        </r>
        <r>
          <rPr>
            <sz val="9"/>
            <color indexed="81"/>
            <rFont val="Tahoma"/>
            <charset val="1"/>
          </rPr>
          <t xml:space="preserve"> (norm) = integration of (dv / dlnD)</t>
        </r>
        <r>
          <rPr>
            <vertAlign val="subscript"/>
            <sz val="11"/>
            <color indexed="81"/>
            <rFont val="Tahoma"/>
            <family val="2"/>
          </rPr>
          <t>i</t>
        </r>
      </text>
    </comment>
    <comment ref="I18" authorId="0" shapeId="0">
      <text>
        <r>
          <rPr>
            <b/>
            <sz val="9"/>
            <color indexed="81"/>
            <rFont val="Tahoma"/>
            <charset val="1"/>
          </rPr>
          <t>Norman T. O'Neill:</t>
        </r>
        <r>
          <rPr>
            <sz val="9"/>
            <color indexed="81"/>
            <rFont val="Tahoma"/>
            <charset val="1"/>
          </rPr>
          <t xml:space="preserve">
C</t>
        </r>
        <r>
          <rPr>
            <vertAlign val="subscript"/>
            <sz val="11"/>
            <color indexed="81"/>
            <rFont val="Tahoma"/>
            <family val="2"/>
          </rPr>
          <t>Kok</t>
        </r>
        <r>
          <rPr>
            <sz val="9"/>
            <color indexed="81"/>
            <rFont val="Tahoma"/>
            <charset val="1"/>
          </rPr>
          <t xml:space="preserve"> x integration of (dv / dlnD)</t>
        </r>
        <r>
          <rPr>
            <vertAlign val="subscript"/>
            <sz val="11"/>
            <color indexed="81"/>
            <rFont val="Tahoma"/>
            <family val="2"/>
          </rPr>
          <t xml:space="preserve">i </t>
        </r>
      </text>
    </comment>
    <comment ref="J18" authorId="0" shapeId="0">
      <text>
        <r>
          <rPr>
            <b/>
            <sz val="9"/>
            <color indexed="81"/>
            <rFont val="Tahoma"/>
            <charset val="1"/>
          </rPr>
          <t>Norman T. O'Neill:</t>
        </r>
        <r>
          <rPr>
            <sz val="9"/>
            <color indexed="81"/>
            <rFont val="Tahoma"/>
            <charset val="1"/>
          </rPr>
          <t xml:space="preserve">
v</t>
        </r>
        <r>
          <rPr>
            <vertAlign val="subscript"/>
            <sz val="11"/>
            <color indexed="81"/>
            <rFont val="Tahoma"/>
            <family val="2"/>
          </rPr>
          <t>sp</t>
        </r>
        <r>
          <rPr>
            <sz val="9"/>
            <color indexed="81"/>
            <rFont val="Tahoma"/>
            <charset val="1"/>
          </rPr>
          <t xml:space="preserve"> = quadrature integration of v</t>
        </r>
        <r>
          <rPr>
            <vertAlign val="subscript"/>
            <sz val="11"/>
            <color indexed="81"/>
            <rFont val="Tahoma"/>
            <family val="2"/>
          </rPr>
          <t>sp</t>
        </r>
        <r>
          <rPr>
            <sz val="9"/>
            <color indexed="81"/>
            <rFont val="Tahoma"/>
            <charset val="1"/>
          </rPr>
          <t xml:space="preserve">(D) x </t>
        </r>
        <r>
          <rPr>
            <sz val="9"/>
            <color indexed="81"/>
            <rFont val="Tahoma"/>
            <family val="2"/>
          </rPr>
          <t>d</t>
        </r>
        <r>
          <rPr>
            <sz val="9"/>
            <color indexed="81"/>
            <rFont val="Tahoma"/>
            <charset val="1"/>
          </rPr>
          <t xml:space="preserve">n / </t>
        </r>
        <r>
          <rPr>
            <sz val="9"/>
            <color indexed="81"/>
            <rFont val="Tahoma"/>
            <family val="2"/>
          </rPr>
          <t>d</t>
        </r>
        <r>
          <rPr>
            <sz val="9"/>
            <color indexed="81"/>
            <rFont val="Tahoma"/>
            <charset val="1"/>
          </rPr>
          <t>lnD</t>
        </r>
      </text>
    </comment>
    <comment ref="K19" authorId="0" shapeId="0">
      <text>
        <r>
          <rPr>
            <b/>
            <sz val="9"/>
            <color indexed="81"/>
            <rFont val="Tahoma"/>
            <charset val="1"/>
          </rPr>
          <t>Norman T. O'Neill:</t>
        </r>
        <r>
          <rPr>
            <sz val="9"/>
            <color indexed="81"/>
            <rFont val="Tahoma"/>
            <charset val="1"/>
          </rPr>
          <t xml:space="preserve">
Particle-volume weighted geometric mean (2 x what is called "Volume median radius" in the AERONET-inversion  V3 documentation: the AERONET-inversion label is incorrect)
</t>
        </r>
      </text>
    </comment>
    <comment ref="F20" authorId="0" shapeId="0">
      <text>
        <r>
          <rPr>
            <b/>
            <sz val="9"/>
            <color indexed="81"/>
            <rFont val="Tahoma"/>
            <family val="2"/>
          </rPr>
          <t>Norman T. O'Neill:</t>
        </r>
        <r>
          <rPr>
            <sz val="9"/>
            <color indexed="81"/>
            <rFont val="Tahoma"/>
            <family val="2"/>
          </rPr>
          <t xml:space="preserve">
From equation A6a in Appendix A.2</t>
        </r>
      </text>
    </comment>
    <comment ref="C21" authorId="0" shapeId="0">
      <text>
        <r>
          <rPr>
            <b/>
            <sz val="9"/>
            <color indexed="81"/>
            <rFont val="Tahoma"/>
            <family val="2"/>
          </rPr>
          <t>Norman T. O'Neill:</t>
        </r>
        <r>
          <rPr>
            <sz val="9"/>
            <color indexed="81"/>
            <rFont val="Tahoma"/>
            <family val="2"/>
          </rPr>
          <t xml:space="preserve">
Check for the spherical case that D</t>
        </r>
        <r>
          <rPr>
            <vertAlign val="subscript"/>
            <sz val="11"/>
            <color indexed="81"/>
            <rFont val="Tahoma"/>
            <family val="2"/>
          </rPr>
          <t>eff</t>
        </r>
        <r>
          <rPr>
            <sz val="9"/>
            <color indexed="81"/>
            <rFont val="Tahoma"/>
            <family val="2"/>
          </rPr>
          <t xml:space="preserve"> computed with equation (A2b) is equal to D</t>
        </r>
        <r>
          <rPr>
            <vertAlign val="subscript"/>
            <sz val="11"/>
            <color indexed="81"/>
            <rFont val="Tahoma"/>
            <family val="2"/>
          </rPr>
          <t>eff</t>
        </r>
        <r>
          <rPr>
            <sz val="9"/>
            <color indexed="81"/>
            <rFont val="Tahoma"/>
            <family val="2"/>
          </rPr>
          <t xml:space="preserve"> computed with equation (A2a)</t>
        </r>
      </text>
    </comment>
    <comment ref="I21" authorId="0" shapeId="0">
      <text>
        <r>
          <rPr>
            <b/>
            <sz val="9"/>
            <color indexed="81"/>
            <rFont val="Tahoma"/>
            <family val="2"/>
          </rPr>
          <t>Norman T. O'Neill:</t>
        </r>
        <r>
          <rPr>
            <sz val="9"/>
            <color indexed="81"/>
            <rFont val="Tahoma"/>
            <family val="2"/>
          </rPr>
          <t xml:space="preserve">
% difference in D</t>
        </r>
        <r>
          <rPr>
            <vertAlign val="subscript"/>
            <sz val="11"/>
            <color indexed="81"/>
            <rFont val="Tahoma"/>
            <family val="2"/>
          </rPr>
          <t>eff</t>
        </r>
      </text>
    </comment>
    <comment ref="I23" authorId="0" shapeId="0">
      <text>
        <r>
          <rPr>
            <b/>
            <sz val="9"/>
            <color indexed="81"/>
            <rFont val="Tahoma"/>
            <charset val="1"/>
          </rPr>
          <t>Norman T. O'Neill:</t>
        </r>
        <r>
          <rPr>
            <sz val="9"/>
            <color indexed="81"/>
            <rFont val="Tahoma"/>
            <charset val="1"/>
          </rPr>
          <t xml:space="preserve">
Page 1019 of Kok (2011). Units of </t>
        </r>
        <r>
          <rPr>
            <sz val="9"/>
            <color indexed="81"/>
            <rFont val="Symbol"/>
            <family val="1"/>
            <charset val="2"/>
          </rPr>
          <t>m</t>
        </r>
        <r>
          <rPr>
            <sz val="9"/>
            <color indexed="81"/>
            <rFont val="Tahoma"/>
            <charset val="1"/>
          </rPr>
          <t>m</t>
        </r>
      </text>
    </comment>
    <comment ref="I24" authorId="0" shapeId="0">
      <text>
        <r>
          <rPr>
            <b/>
            <sz val="9"/>
            <color indexed="81"/>
            <rFont val="Tahoma"/>
            <charset val="1"/>
          </rPr>
          <t>Norman T. O'Neill:</t>
        </r>
        <r>
          <rPr>
            <sz val="9"/>
            <color indexed="81"/>
            <rFont val="Tahoma"/>
            <charset val="1"/>
          </rPr>
          <t xml:space="preserve">
Page 1019 of Kok (2011). Units of </t>
        </r>
        <r>
          <rPr>
            <sz val="9"/>
            <color indexed="81"/>
            <rFont val="Symbol"/>
            <family val="1"/>
            <charset val="2"/>
          </rPr>
          <t>m</t>
        </r>
        <r>
          <rPr>
            <sz val="9"/>
            <color indexed="81"/>
            <rFont val="Tahoma"/>
            <charset val="1"/>
          </rPr>
          <t>m</t>
        </r>
      </text>
    </comment>
    <comment ref="D25" authorId="0" shapeId="0">
      <text>
        <r>
          <rPr>
            <b/>
            <sz val="9"/>
            <color indexed="81"/>
            <rFont val="Tahoma"/>
            <family val="2"/>
          </rPr>
          <t>Norman T. O'Neill:</t>
        </r>
        <r>
          <rPr>
            <sz val="9"/>
            <color indexed="81"/>
            <rFont val="Tahoma"/>
            <family val="2"/>
          </rPr>
          <t xml:space="preserve">
The black curves opposite are consistent (yield a physically realistic effective radius value and approximatedly agree with results for spherical particles* (which one would expext for these small coarse mode particles). See more details in the comments associated with the header "C</t>
        </r>
        <r>
          <rPr>
            <vertAlign val="subscript"/>
            <sz val="11"/>
            <color indexed="81"/>
            <rFont val="Tahoma"/>
            <family val="2"/>
          </rPr>
          <t>Kok</t>
        </r>
        <r>
          <rPr>
            <sz val="9"/>
            <color indexed="81"/>
            <rFont val="Tahoma"/>
            <family val="2"/>
          </rPr>
          <t xml:space="preserve"> (dv / dlnD)i (Kok)"
* Agreement that generally gets better with decreasing particle size</t>
        </r>
      </text>
    </comment>
    <comment ref="D26" authorId="0" shapeId="0">
      <text>
        <r>
          <rPr>
            <b/>
            <sz val="9"/>
            <color indexed="81"/>
            <rFont val="Tahoma"/>
            <family val="2"/>
          </rPr>
          <t>Norman T. O'Neill:</t>
        </r>
        <r>
          <rPr>
            <sz val="9"/>
            <color indexed="81"/>
            <rFont val="Tahoma"/>
            <family val="2"/>
          </rPr>
          <t xml:space="preserve">
Kok JF. A scaling theory for the size distribution of emitted dust aerosols suggests climate models underestimate the size of the global dust cycle. Proceedings of the National Academy of Sciences. 2011 Jan 18;108(3):1016-21.</t>
        </r>
      </text>
    </comment>
  </commentList>
</comments>
</file>

<file path=xl/comments2.xml><?xml version="1.0" encoding="utf-8"?>
<comments xmlns="http://schemas.openxmlformats.org/spreadsheetml/2006/main">
  <authors>
    <author>Norman T. O'Neill</author>
  </authors>
  <commentList>
    <comment ref="G5" authorId="0" shapeId="0">
      <text>
        <r>
          <rPr>
            <b/>
            <sz val="9"/>
            <color indexed="81"/>
            <rFont val="Tahoma"/>
            <charset val="1"/>
          </rPr>
          <t>Norman T. O'Neill:</t>
        </r>
        <r>
          <rPr>
            <sz val="9"/>
            <color indexed="81"/>
            <rFont val="Tahoma"/>
            <charset val="1"/>
          </rPr>
          <t xml:space="preserve">
"a" is the long axis</t>
        </r>
      </text>
    </comment>
    <comment ref="K5" authorId="0" shapeId="0">
      <text>
        <r>
          <rPr>
            <b/>
            <sz val="9"/>
            <color indexed="81"/>
            <rFont val="Tahoma"/>
            <family val="2"/>
          </rPr>
          <t>Norman T. O'Neill:</t>
        </r>
        <r>
          <rPr>
            <sz val="9"/>
            <color indexed="81"/>
            <rFont val="Tahoma"/>
            <family val="2"/>
          </rPr>
          <t xml:space="preserve">
Surface area of ellipsoid</t>
        </r>
      </text>
    </comment>
    <comment ref="L5" authorId="0" shapeId="0">
      <text>
        <r>
          <rPr>
            <b/>
            <sz val="9"/>
            <color indexed="81"/>
            <rFont val="Tahoma"/>
            <family val="2"/>
          </rPr>
          <t>Norman T. O'Neill:</t>
        </r>
        <r>
          <rPr>
            <sz val="9"/>
            <color indexed="81"/>
            <rFont val="Tahoma"/>
            <family val="2"/>
          </rPr>
          <t xml:space="preserve">
Volume of ellipsoid</t>
        </r>
      </text>
    </comment>
    <comment ref="M5" authorId="0" shapeId="0">
      <text>
        <r>
          <rPr>
            <b/>
            <sz val="9"/>
            <color indexed="81"/>
            <rFont val="Tahoma"/>
            <family val="2"/>
          </rPr>
          <t>Norman T. O'Neill:</t>
        </r>
        <r>
          <rPr>
            <sz val="9"/>
            <color indexed="81"/>
            <rFont val="Tahoma"/>
            <family val="2"/>
          </rPr>
          <t xml:space="preserve">
Ginoux's symbol for effective diameter</t>
        </r>
      </text>
    </comment>
    <comment ref="E7" authorId="0" shapeId="0">
      <text>
        <r>
          <rPr>
            <b/>
            <sz val="9"/>
            <color indexed="81"/>
            <rFont val="Tahoma"/>
            <charset val="1"/>
          </rPr>
          <t>Norman T. O'Neill:</t>
        </r>
        <r>
          <rPr>
            <sz val="9"/>
            <color indexed="81"/>
            <rFont val="Tahoma"/>
            <charset val="1"/>
          </rPr>
          <t xml:space="preserve">
Geometric relations for prolate ellipsoids from Ginoux (2003). Ginoux is also the source of the "Maximum frequency" occurring at an "aspect ratio" of </t>
        </r>
        <r>
          <rPr>
            <sz val="9"/>
            <color indexed="81"/>
            <rFont val="Symbol"/>
            <family val="1"/>
            <charset val="2"/>
          </rPr>
          <t>l</t>
        </r>
        <r>
          <rPr>
            <sz val="9"/>
            <color indexed="81"/>
            <rFont val="Tahoma"/>
            <charset val="1"/>
          </rPr>
          <t xml:space="preserve"> = 1.5 (which doesn't quite agree with his citation: the Figure 4 histogram peak of Okada et al.,  2001* is more like 1.4
* for 3 Chinese desert sites</t>
        </r>
      </text>
    </comment>
    <comment ref="F11" authorId="0" shapeId="0">
      <text>
        <r>
          <rPr>
            <b/>
            <sz val="9"/>
            <color indexed="81"/>
            <rFont val="Tahoma"/>
            <charset val="1"/>
          </rPr>
          <t>Norman T. O'Neill:</t>
        </r>
        <r>
          <rPr>
            <sz val="9"/>
            <color indexed="81"/>
            <rFont val="Tahoma"/>
            <charset val="1"/>
          </rPr>
          <t xml:space="preserve">
In spite of the apparent mono-variable (mono-</t>
        </r>
        <r>
          <rPr>
            <sz val="9"/>
            <color indexed="81"/>
            <rFont val="Symbol"/>
            <family val="1"/>
            <charset val="2"/>
          </rPr>
          <t>l</t>
        </r>
        <r>
          <rPr>
            <sz val="9"/>
            <color indexed="81"/>
            <rFont val="Tahoma"/>
            <charset val="1"/>
          </rPr>
          <t>) frequency distributions of Okada et al. (2001), D</t>
        </r>
        <r>
          <rPr>
            <vertAlign val="subscript"/>
            <sz val="11"/>
            <color indexed="81"/>
            <rFont val="Tahoma"/>
            <family val="2"/>
          </rPr>
          <t>eff</t>
        </r>
        <r>
          <rPr>
            <sz val="9"/>
            <color indexed="81"/>
            <rFont val="Tahoma"/>
            <charset val="1"/>
          </rPr>
          <t xml:space="preserve"> is, of course, also a function of the actual size of an ellopsoid particle (in addition to its shape). However, the fact that an apparently mono-variable distribution was measured, strongly suggests that the actual dust-particle size distributions do much to confine D</t>
        </r>
        <r>
          <rPr>
            <vertAlign val="subscript"/>
            <sz val="11"/>
            <color indexed="81"/>
            <rFont val="Tahoma"/>
            <family val="2"/>
          </rPr>
          <t>eff</t>
        </r>
        <r>
          <rPr>
            <sz val="9"/>
            <color indexed="81"/>
            <rFont val="Tahoma"/>
            <charset val="1"/>
          </rPr>
          <t xml:space="preserve"> to mono-variable conditions. Indeed, Okada et al. state that: "... the median aspect ratios at all locations are approximately 1.4 in the radius range of 0.1 - 2 </t>
        </r>
        <r>
          <rPr>
            <sz val="9"/>
            <color indexed="81"/>
            <rFont val="Symbol"/>
            <family val="1"/>
            <charset val="2"/>
          </rPr>
          <t>m</t>
        </r>
        <r>
          <rPr>
            <sz val="9"/>
            <color indexed="81"/>
            <rFont val="Tahoma"/>
            <charset val="1"/>
          </rPr>
          <t xml:space="preserve">m,
</t>
        </r>
        <r>
          <rPr>
            <u/>
            <sz val="9"/>
            <color indexed="81"/>
            <rFont val="Tahoma"/>
            <family val="2"/>
          </rPr>
          <t>indicating that the median aspect ratio is size-independent</t>
        </r>
        <r>
          <rPr>
            <sz val="9"/>
            <color indexed="81"/>
            <rFont val="Tahoma"/>
            <charset val="1"/>
          </rPr>
          <t>.</t>
        </r>
      </text>
    </comment>
    <comment ref="F13" authorId="0" shapeId="0">
      <text>
        <r>
          <rPr>
            <b/>
            <sz val="9"/>
            <color indexed="81"/>
            <rFont val="Tahoma"/>
            <charset val="1"/>
          </rPr>
          <t>Norman T. O'Neill:</t>
        </r>
        <r>
          <rPr>
            <sz val="9"/>
            <color indexed="81"/>
            <rFont val="Tahoma"/>
            <charset val="1"/>
          </rPr>
          <t xml:space="preserve">
Ginoux P. Effects of nonsphericity on mineral dust modeling. Journal of Geophysical Research: Atmospheres. 2003 Jan 27;108(D2).
Okada K, Heintzenberg J, Kai K, Qin Y. Shape of atmospheric mineral particles collected in three Chinese arid‐regions. Geophysical Research Letters. 2001 Aug 15;28(16):3123-6.</t>
        </r>
      </text>
    </comment>
  </commentList>
</comments>
</file>

<file path=xl/sharedStrings.xml><?xml version="1.0" encoding="utf-8"?>
<sst xmlns="http://schemas.openxmlformats.org/spreadsheetml/2006/main" count="41" uniqueCount="38">
  <si>
    <t>i</t>
  </si>
  <si>
    <t>Conclusion</t>
  </si>
  <si>
    <t>References</t>
  </si>
  <si>
    <t>l</t>
  </si>
  <si>
    <r>
      <t>A check: D</t>
    </r>
    <r>
      <rPr>
        <vertAlign val="subscript"/>
        <sz val="11"/>
        <rFont val="Calibri"/>
        <family val="2"/>
        <scheme val="minor"/>
      </rPr>
      <t>eff</t>
    </r>
    <r>
      <rPr>
        <sz val="11"/>
        <rFont val="Calibri"/>
        <family val="2"/>
        <scheme val="minor"/>
      </rPr>
      <t xml:space="preserve"> = &lt;D&gt;</t>
    </r>
    <r>
      <rPr>
        <vertAlign val="subscript"/>
        <sz val="12"/>
        <rFont val="Symbol"/>
        <family val="1"/>
        <charset val="2"/>
      </rPr>
      <t>w</t>
    </r>
    <r>
      <rPr>
        <vertAlign val="subscript"/>
        <sz val="12"/>
        <rFont val="Calibri"/>
        <family val="2"/>
        <scheme val="minor"/>
      </rPr>
      <t xml:space="preserve"> = ds / dln D</t>
    </r>
  </si>
  <si>
    <t xml:space="preserve">% dif   = </t>
  </si>
  <si>
    <r>
      <t>C</t>
    </r>
    <r>
      <rPr>
        <i/>
        <vertAlign val="subscript"/>
        <sz val="11"/>
        <color theme="1"/>
        <rFont val="Calibri"/>
        <family val="2"/>
        <scheme val="minor"/>
      </rPr>
      <t>N</t>
    </r>
  </si>
  <si>
    <r>
      <t>C</t>
    </r>
    <r>
      <rPr>
        <i/>
        <vertAlign val="subscript"/>
        <sz val="11"/>
        <color theme="1"/>
        <rFont val="Calibri"/>
        <family val="2"/>
        <scheme val="minor"/>
      </rPr>
      <t>V</t>
    </r>
  </si>
  <si>
    <r>
      <t>C</t>
    </r>
    <r>
      <rPr>
        <i/>
        <vertAlign val="subscript"/>
        <sz val="11"/>
        <color theme="1"/>
        <rFont val="Calibri"/>
        <family val="2"/>
        <scheme val="minor"/>
      </rPr>
      <t>Kok</t>
    </r>
  </si>
  <si>
    <r>
      <t>&lt;D</t>
    </r>
    <r>
      <rPr>
        <i/>
        <vertAlign val="subscript"/>
        <sz val="10"/>
        <color theme="1"/>
        <rFont val="Calibri"/>
        <family val="2"/>
        <scheme val="minor"/>
      </rPr>
      <t>eff</t>
    </r>
    <r>
      <rPr>
        <i/>
        <sz val="10"/>
        <color theme="1"/>
        <rFont val="Calibri"/>
        <family val="2"/>
        <scheme val="minor"/>
      </rPr>
      <t>&gt;/2</t>
    </r>
  </si>
  <si>
    <r>
      <t>&lt;X</t>
    </r>
    <r>
      <rPr>
        <i/>
        <vertAlign val="subscript"/>
        <sz val="10"/>
        <color theme="1"/>
        <rFont val="Calibri"/>
        <family val="2"/>
        <scheme val="minor"/>
      </rPr>
      <t>eff</t>
    </r>
    <r>
      <rPr>
        <i/>
        <sz val="10"/>
        <color theme="1"/>
        <rFont val="Calibri"/>
        <family val="2"/>
        <scheme val="minor"/>
      </rPr>
      <t>&gt;</t>
    </r>
  </si>
  <si>
    <r>
      <t>D</t>
    </r>
    <r>
      <rPr>
        <i/>
        <vertAlign val="subscript"/>
        <sz val="12"/>
        <color theme="1"/>
        <rFont val="Calibri"/>
        <family val="2"/>
        <scheme val="minor"/>
      </rPr>
      <t>eff</t>
    </r>
    <r>
      <rPr>
        <i/>
        <sz val="11"/>
        <color theme="1"/>
        <rFont val="Calibri"/>
        <family val="2"/>
        <scheme val="minor"/>
      </rPr>
      <t xml:space="preserve"> = 3/2(v/s)</t>
    </r>
  </si>
  <si>
    <t>VMD</t>
  </si>
  <si>
    <r>
      <t>ln(D</t>
    </r>
    <r>
      <rPr>
        <i/>
        <vertAlign val="subscript"/>
        <sz val="9"/>
        <color theme="1"/>
        <rFont val="Calibri"/>
        <family val="2"/>
        <scheme val="minor"/>
      </rPr>
      <t>i-</t>
    </r>
    <r>
      <rPr>
        <i/>
        <sz val="9"/>
        <color theme="1"/>
        <rFont val="Calibri"/>
        <family val="2"/>
        <scheme val="minor"/>
      </rPr>
      <t>)</t>
    </r>
  </si>
  <si>
    <r>
      <t>D</t>
    </r>
    <r>
      <rPr>
        <i/>
        <vertAlign val="subscript"/>
        <sz val="9"/>
        <color theme="1"/>
        <rFont val="Calibri"/>
        <family val="2"/>
        <scheme val="minor"/>
      </rPr>
      <t>i-</t>
    </r>
  </si>
  <si>
    <r>
      <t>D</t>
    </r>
    <r>
      <rPr>
        <i/>
        <vertAlign val="subscript"/>
        <sz val="9"/>
        <color theme="1"/>
        <rFont val="Calibri"/>
        <family val="2"/>
        <scheme val="minor"/>
      </rPr>
      <t>i</t>
    </r>
  </si>
  <si>
    <r>
      <t>ln(D</t>
    </r>
    <r>
      <rPr>
        <i/>
        <vertAlign val="subscript"/>
        <sz val="9"/>
        <color theme="1"/>
        <rFont val="Calibri"/>
        <family val="2"/>
        <scheme val="minor"/>
      </rPr>
      <t>i</t>
    </r>
    <r>
      <rPr>
        <i/>
        <sz val="9"/>
        <color theme="1"/>
        <rFont val="Calibri"/>
        <family val="2"/>
        <scheme val="minor"/>
      </rPr>
      <t>)</t>
    </r>
  </si>
  <si>
    <r>
      <rPr>
        <sz val="9"/>
        <color theme="1"/>
        <rFont val="Symbol"/>
        <family val="1"/>
        <charset val="2"/>
      </rPr>
      <t>D</t>
    </r>
    <r>
      <rPr>
        <sz val="9"/>
        <color theme="1"/>
        <rFont val="Calibri"/>
        <family val="2"/>
        <scheme val="minor"/>
      </rPr>
      <t>ln(D)</t>
    </r>
  </si>
  <si>
    <r>
      <t>s</t>
    </r>
    <r>
      <rPr>
        <i/>
        <vertAlign val="subscript"/>
        <sz val="10"/>
        <color theme="1"/>
        <rFont val="Calibri"/>
        <family val="2"/>
        <scheme val="minor"/>
      </rPr>
      <t>sp</t>
    </r>
    <r>
      <rPr>
        <i/>
        <sz val="10"/>
        <color theme="1"/>
        <rFont val="Calibri"/>
        <family val="2"/>
        <scheme val="minor"/>
      </rPr>
      <t>(D) x</t>
    </r>
  </si>
  <si>
    <r>
      <t>C</t>
    </r>
    <r>
      <rPr>
        <i/>
        <vertAlign val="subscript"/>
        <sz val="10"/>
        <color theme="0"/>
        <rFont val="Calibri"/>
        <family val="2"/>
        <scheme val="minor"/>
      </rPr>
      <t>kok</t>
    </r>
    <r>
      <rPr>
        <i/>
        <sz val="10"/>
        <color theme="0"/>
        <rFont val="Calibri"/>
        <family val="2"/>
        <scheme val="minor"/>
      </rPr>
      <t xml:space="preserve"> x v</t>
    </r>
    <r>
      <rPr>
        <i/>
        <vertAlign val="subscript"/>
        <sz val="10"/>
        <color theme="0"/>
        <rFont val="Calibri"/>
        <family val="2"/>
        <scheme val="minor"/>
      </rPr>
      <t>sp</t>
    </r>
    <r>
      <rPr>
        <i/>
        <sz val="10"/>
        <color theme="0"/>
        <rFont val="Calibri"/>
        <family val="2"/>
        <scheme val="minor"/>
      </rPr>
      <t>(D)</t>
    </r>
  </si>
  <si>
    <r>
      <t>v</t>
    </r>
    <r>
      <rPr>
        <i/>
        <vertAlign val="subscript"/>
        <sz val="10"/>
        <color theme="1"/>
        <rFont val="Calibri"/>
        <family val="2"/>
        <scheme val="minor"/>
      </rPr>
      <t>sp</t>
    </r>
    <r>
      <rPr>
        <i/>
        <sz val="10"/>
        <color theme="1"/>
        <rFont val="Calibri"/>
        <family val="2"/>
        <scheme val="minor"/>
      </rPr>
      <t>(D)</t>
    </r>
  </si>
  <si>
    <t>pr</t>
  </si>
  <si>
    <t>a</t>
  </si>
  <si>
    <t>b</t>
  </si>
  <si>
    <t>e</t>
  </si>
  <si>
    <r>
      <t>S</t>
    </r>
    <r>
      <rPr>
        <vertAlign val="subscript"/>
        <sz val="11"/>
        <color theme="1"/>
        <rFont val="Calibri"/>
        <family val="2"/>
        <scheme val="minor"/>
      </rPr>
      <t>p</t>
    </r>
  </si>
  <si>
    <r>
      <t>V</t>
    </r>
    <r>
      <rPr>
        <vertAlign val="subscript"/>
        <sz val="11"/>
        <color theme="1"/>
        <rFont val="Calibri"/>
        <family val="2"/>
        <scheme val="minor"/>
      </rPr>
      <t>p</t>
    </r>
  </si>
  <si>
    <r>
      <t>D</t>
    </r>
    <r>
      <rPr>
        <vertAlign val="subscript"/>
        <sz val="11"/>
        <color theme="1"/>
        <rFont val="Calibri"/>
        <family val="2"/>
        <scheme val="minor"/>
      </rPr>
      <t>p</t>
    </r>
  </si>
  <si>
    <r>
      <t xml:space="preserve">Maximum </t>
    </r>
    <r>
      <rPr>
        <sz val="11"/>
        <color theme="1"/>
        <rFont val="Symbol"/>
        <family val="1"/>
        <charset val="2"/>
      </rPr>
      <t>l</t>
    </r>
    <r>
      <rPr>
        <sz val="11"/>
        <color theme="1"/>
        <rFont val="Calibri"/>
        <family val="2"/>
        <scheme val="minor"/>
      </rPr>
      <t xml:space="preserve"> frequency</t>
    </r>
  </si>
  <si>
    <t>Reference (sphere)</t>
  </si>
  <si>
    <r>
      <rPr>
        <sz val="11"/>
        <color theme="1"/>
        <rFont val="Symbol"/>
        <family val="1"/>
        <charset val="2"/>
      </rPr>
      <t>ò</t>
    </r>
    <r>
      <rPr>
        <sz val="11"/>
        <color theme="1"/>
        <rFont val="Calibri"/>
        <family val="2"/>
      </rPr>
      <t xml:space="preserve"> </t>
    </r>
    <r>
      <rPr>
        <sz val="10"/>
        <color theme="1"/>
        <rFont val="Calibri"/>
        <family val="2"/>
      </rPr>
      <t>f(D) dlnD</t>
    </r>
  </si>
  <si>
    <t xml:space="preserve">Comment </t>
  </si>
  <si>
    <t>/dlnD</t>
  </si>
  <si>
    <r>
      <t>d</t>
    </r>
    <r>
      <rPr>
        <sz val="10"/>
        <color theme="0"/>
        <rFont val="Calibri"/>
        <family val="2"/>
      </rPr>
      <t>ῆ</t>
    </r>
  </si>
  <si>
    <t>dῆ/dlnD</t>
  </si>
  <si>
    <t>dlnD</t>
  </si>
  <si>
    <t>dṽ /</t>
  </si>
  <si>
    <t>x dῆ/dlnD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</si>
</sst>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
    <numFmt numFmtId="166" formatCode="0.000"/>
  </numFmts>
  <fonts count="39">
    <font>
      <sz val="11"/>
      <color theme="1"/>
      <name val="Calibri"/>
      <family val="2"/>
      <scheme val="minor"/>
    </font>
    <font>
      <sz val="11"/>
      <name val="Calibri"/>
      <family val="2"/>
      <scheme val="minor"/>
    </font>
    <font>
      <sz val="10"/>
      <color theme="1"/>
      <name val="Calibri"/>
      <family val="2"/>
      <scheme val="minor"/>
    </font>
    <font>
      <sz val="9"/>
      <color indexed="81"/>
      <name val="Tahoma"/>
      <family val="2"/>
    </font>
    <font>
      <b/>
      <sz val="9"/>
      <color indexed="81"/>
      <name val="Tahoma"/>
      <family val="2"/>
    </font>
    <font>
      <b/>
      <sz val="11"/>
      <color theme="1"/>
      <name val="Calibri"/>
      <family val="2"/>
      <scheme val="minor"/>
    </font>
    <font>
      <sz val="11"/>
      <color theme="0"/>
      <name val="Calibri"/>
      <family val="2"/>
      <scheme val="minor"/>
    </font>
    <font>
      <sz val="9"/>
      <color indexed="81"/>
      <name val="Tahoma"/>
      <charset val="1"/>
    </font>
    <font>
      <vertAlign val="subscript"/>
      <sz val="12"/>
      <name val="Calibri"/>
      <family val="2"/>
      <scheme val="minor"/>
    </font>
    <font>
      <vertAlign val="subscript"/>
      <sz val="12"/>
      <name val="Symbol"/>
      <family val="1"/>
      <charset val="2"/>
    </font>
    <font>
      <vertAlign val="subscript"/>
      <sz val="11"/>
      <name val="Calibri"/>
      <family val="2"/>
      <scheme val="minor"/>
    </font>
    <font>
      <vertAlign val="subscript"/>
      <sz val="9"/>
      <color indexed="81"/>
      <name val="Tahoma"/>
      <family val="2"/>
    </font>
    <font>
      <b/>
      <sz val="9"/>
      <color indexed="81"/>
      <name val="Tahoma"/>
      <charset val="1"/>
    </font>
    <font>
      <vertAlign val="subscript"/>
      <sz val="11"/>
      <color indexed="81"/>
      <name val="Tahoma"/>
      <family val="2"/>
    </font>
    <font>
      <sz val="11"/>
      <color theme="1"/>
      <name val="Symbol"/>
      <family val="1"/>
      <charset val="2"/>
    </font>
    <font>
      <sz val="9"/>
      <color indexed="81"/>
      <name val="Symbol"/>
      <family val="1"/>
      <charset val="2"/>
    </font>
    <font>
      <vertAlign val="superscript"/>
      <sz val="11"/>
      <color indexed="81"/>
      <name val="Tahoma"/>
      <family val="2"/>
    </font>
    <font>
      <sz val="11"/>
      <color theme="7" tint="-0.249977111117893"/>
      <name val="Calibri"/>
      <family val="2"/>
      <scheme val="minor"/>
    </font>
    <font>
      <i/>
      <sz val="11"/>
      <color theme="1"/>
      <name val="Calibri"/>
      <family val="2"/>
      <scheme val="minor"/>
    </font>
    <font>
      <i/>
      <vertAlign val="subscript"/>
      <sz val="11"/>
      <color theme="1"/>
      <name val="Calibri"/>
      <family val="2"/>
      <scheme val="minor"/>
    </font>
    <font>
      <i/>
      <sz val="10"/>
      <color theme="1"/>
      <name val="Calibri"/>
      <family val="2"/>
      <scheme val="minor"/>
    </font>
    <font>
      <i/>
      <vertAlign val="subscript"/>
      <sz val="12"/>
      <color theme="1"/>
      <name val="Calibri"/>
      <family val="2"/>
      <scheme val="minor"/>
    </font>
    <font>
      <i/>
      <sz val="10"/>
      <color theme="0"/>
      <name val="Calibri"/>
      <family val="2"/>
      <scheme val="minor"/>
    </font>
    <font>
      <i/>
      <sz val="10"/>
      <color theme="7" tint="-0.249977111117893"/>
      <name val="Calibri"/>
      <family val="2"/>
      <scheme val="minor"/>
    </font>
    <font>
      <i/>
      <vertAlign val="subscript"/>
      <sz val="10"/>
      <color theme="1"/>
      <name val="Calibri"/>
      <family val="2"/>
      <scheme val="minor"/>
    </font>
    <font>
      <i/>
      <sz val="11"/>
      <color theme="7" tint="-0.249977111117893"/>
      <name val="Calibri"/>
      <family val="2"/>
      <scheme val="minor"/>
    </font>
    <font>
      <i/>
      <sz val="9"/>
      <color theme="1"/>
      <name val="Calibri"/>
      <family val="2"/>
      <scheme val="minor"/>
    </font>
    <font>
      <i/>
      <vertAlign val="subscript"/>
      <sz val="9"/>
      <color theme="1"/>
      <name val="Calibri"/>
      <family val="2"/>
      <scheme val="minor"/>
    </font>
    <font>
      <sz val="9"/>
      <color theme="1"/>
      <name val="Calibri"/>
      <family val="2"/>
      <scheme val="minor"/>
    </font>
    <font>
      <sz val="9"/>
      <color theme="1"/>
      <name val="Calibri"/>
      <family val="1"/>
      <charset val="2"/>
      <scheme val="minor"/>
    </font>
    <font>
      <sz val="9"/>
      <color theme="1"/>
      <name val="Symbol"/>
      <family val="1"/>
      <charset val="2"/>
    </font>
    <font>
      <i/>
      <vertAlign val="subscript"/>
      <sz val="10"/>
      <color theme="0"/>
      <name val="Calibri"/>
      <family val="2"/>
      <scheme val="minor"/>
    </font>
    <font>
      <vertAlign val="subscript"/>
      <sz val="11"/>
      <color theme="1"/>
      <name val="Calibri"/>
      <family val="2"/>
      <scheme val="minor"/>
    </font>
    <font>
      <sz val="11"/>
      <color theme="1"/>
      <name val="Calibri"/>
      <family val="1"/>
      <charset val="2"/>
      <scheme val="minor"/>
    </font>
    <font>
      <sz val="11"/>
      <color theme="1"/>
      <name val="Calibri"/>
      <family val="2"/>
    </font>
    <font>
      <sz val="11"/>
      <color theme="1"/>
      <name val="Calibri"/>
      <family val="1"/>
      <charset val="2"/>
    </font>
    <font>
      <sz val="10"/>
      <color theme="1"/>
      <name val="Calibri"/>
      <family val="2"/>
    </font>
    <font>
      <u/>
      <sz val="9"/>
      <color indexed="81"/>
      <name val="Tahoma"/>
      <family val="2"/>
    </font>
    <font>
      <sz val="10"/>
      <color theme="0"/>
      <name val="Calibri"/>
      <family val="2"/>
    </font>
  </fonts>
  <fills count="5">
    <fill>
      <patternFill patternType="none"/>
    </fill>
    <fill>
      <patternFill patternType="gray125"/>
    </fill>
    <fill>
      <patternFill patternType="solid">
        <fgColor theme="9" tint="0.79998168889431442"/>
        <bgColor indexed="64"/>
      </patternFill>
    </fill>
    <fill>
      <patternFill patternType="solid">
        <fgColor theme="0" tint="-0.249977111117893"/>
        <bgColor indexed="64"/>
      </patternFill>
    </fill>
    <fill>
      <patternFill patternType="solid">
        <fgColor theme="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theme="0"/>
      </bottom>
      <diagonal/>
    </border>
    <border>
      <left style="thin">
        <color indexed="64"/>
      </left>
      <right/>
      <top/>
      <bottom style="thin">
        <color theme="0"/>
      </bottom>
      <diagonal/>
    </border>
    <border>
      <left/>
      <right style="medium">
        <color indexed="64"/>
      </right>
      <top style="medium">
        <color indexed="64"/>
      </top>
      <bottom/>
      <diagonal/>
    </border>
  </borders>
  <cellStyleXfs count="1">
    <xf numFmtId="0" fontId="0" fillId="0" borderId="0"/>
  </cellStyleXfs>
  <cellXfs count="82">
    <xf numFmtId="0" fontId="0" fillId="0" borderId="0" xfId="0"/>
    <xf numFmtId="0" fontId="2" fillId="0" borderId="0" xfId="0" applyFont="1"/>
    <xf numFmtId="0" fontId="0" fillId="0" borderId="3" xfId="0" applyBorder="1"/>
    <xf numFmtId="0" fontId="0" fillId="0" borderId="4" xfId="0" applyBorder="1"/>
    <xf numFmtId="0" fontId="0" fillId="0" borderId="5" xfId="0" applyBorder="1"/>
    <xf numFmtId="0" fontId="2" fillId="0" borderId="6" xfId="0" applyFont="1" applyBorder="1"/>
    <xf numFmtId="0" fontId="0" fillId="0" borderId="9" xfId="0" applyBorder="1"/>
    <xf numFmtId="0" fontId="0" fillId="0" borderId="8" xfId="0" applyBorder="1"/>
    <xf numFmtId="0" fontId="0" fillId="0" borderId="7" xfId="0" applyBorder="1"/>
    <xf numFmtId="0" fontId="0" fillId="0" borderId="12" xfId="0" applyBorder="1"/>
    <xf numFmtId="0" fontId="0" fillId="0" borderId="13" xfId="0" applyBorder="1"/>
    <xf numFmtId="0" fontId="5" fillId="0" borderId="0" xfId="0" applyFont="1"/>
    <xf numFmtId="0" fontId="1" fillId="3" borderId="3" xfId="0" applyFont="1" applyFill="1" applyBorder="1"/>
    <xf numFmtId="0" fontId="1" fillId="3" borderId="4" xfId="0" applyFont="1" applyFill="1" applyBorder="1"/>
    <xf numFmtId="164" fontId="6" fillId="4" borderId="10" xfId="0" applyNumberFormat="1" applyFont="1" applyFill="1" applyBorder="1"/>
    <xf numFmtId="164" fontId="6" fillId="4" borderId="0" xfId="0" applyNumberFormat="1" applyFont="1" applyFill="1" applyBorder="1"/>
    <xf numFmtId="0" fontId="6" fillId="4" borderId="11" xfId="0" applyFont="1" applyFill="1" applyBorder="1"/>
    <xf numFmtId="0" fontId="6" fillId="4" borderId="10" xfId="0" applyFont="1" applyFill="1" applyBorder="1"/>
    <xf numFmtId="0" fontId="0" fillId="0" borderId="16" xfId="0" applyBorder="1"/>
    <xf numFmtId="0" fontId="1" fillId="2" borderId="2" xfId="0" applyFont="1" applyFill="1" applyBorder="1"/>
    <xf numFmtId="0" fontId="0" fillId="2" borderId="18" xfId="0" applyFill="1" applyBorder="1"/>
    <xf numFmtId="0" fontId="0" fillId="2" borderId="11" xfId="0" applyFill="1" applyBorder="1"/>
    <xf numFmtId="0" fontId="6" fillId="4" borderId="19" xfId="0" applyFont="1" applyFill="1" applyBorder="1"/>
    <xf numFmtId="0" fontId="1" fillId="3" borderId="19" xfId="0" applyFont="1" applyFill="1" applyBorder="1"/>
    <xf numFmtId="0" fontId="0" fillId="0" borderId="7" xfId="0" applyFill="1" applyBorder="1"/>
    <xf numFmtId="0" fontId="0" fillId="0" borderId="10" xfId="0" applyFill="1" applyBorder="1"/>
    <xf numFmtId="0" fontId="0" fillId="0" borderId="8" xfId="0" applyFill="1" applyBorder="1"/>
    <xf numFmtId="0" fontId="0" fillId="0" borderId="13" xfId="0" applyFill="1" applyBorder="1"/>
    <xf numFmtId="0" fontId="14" fillId="0" borderId="11" xfId="0" applyFont="1" applyFill="1" applyBorder="1" applyAlignment="1">
      <alignment horizontal="center"/>
    </xf>
    <xf numFmtId="0" fontId="0" fillId="0" borderId="11" xfId="0" applyFill="1" applyBorder="1" applyAlignment="1">
      <alignment horizontal="center"/>
    </xf>
    <xf numFmtId="0" fontId="0" fillId="0" borderId="14" xfId="0" applyFill="1" applyBorder="1"/>
    <xf numFmtId="0" fontId="0" fillId="3" borderId="3" xfId="0" applyFill="1" applyBorder="1"/>
    <xf numFmtId="0" fontId="0" fillId="3" borderId="4" xfId="0" applyFill="1" applyBorder="1"/>
    <xf numFmtId="0" fontId="0" fillId="3" borderId="19" xfId="0" applyFill="1" applyBorder="1"/>
    <xf numFmtId="0" fontId="17" fillId="4" borderId="10" xfId="0" applyFont="1" applyFill="1" applyBorder="1"/>
    <xf numFmtId="0" fontId="17" fillId="4" borderId="0" xfId="0" applyFont="1" applyFill="1" applyBorder="1"/>
    <xf numFmtId="0" fontId="17" fillId="4" borderId="19" xfId="0" applyFont="1" applyFill="1" applyBorder="1"/>
    <xf numFmtId="0" fontId="17" fillId="4" borderId="16" xfId="0" applyFont="1" applyFill="1" applyBorder="1"/>
    <xf numFmtId="0" fontId="22" fillId="4" borderId="12" xfId="0" applyFont="1" applyFill="1" applyBorder="1" applyAlignment="1">
      <alignment horizontal="center"/>
    </xf>
    <xf numFmtId="0" fontId="20" fillId="3" borderId="4" xfId="0" applyFont="1" applyFill="1" applyBorder="1" applyAlignment="1">
      <alignment horizontal="center"/>
    </xf>
    <xf numFmtId="0" fontId="23" fillId="4" borderId="12" xfId="0" applyFont="1" applyFill="1" applyBorder="1" applyAlignment="1">
      <alignment horizontal="center"/>
    </xf>
    <xf numFmtId="0" fontId="20" fillId="3" borderId="12" xfId="0" applyFont="1" applyFill="1" applyBorder="1" applyAlignment="1">
      <alignment horizontal="center"/>
    </xf>
    <xf numFmtId="0" fontId="22" fillId="4" borderId="3" xfId="0" applyFont="1" applyFill="1" applyBorder="1" applyAlignment="1">
      <alignment horizontal="center"/>
    </xf>
    <xf numFmtId="0" fontId="20" fillId="3" borderId="3" xfId="0" applyFont="1" applyFill="1" applyBorder="1" applyAlignment="1">
      <alignment horizontal="center"/>
    </xf>
    <xf numFmtId="0" fontId="23" fillId="4" borderId="4" xfId="0" applyFont="1" applyFill="1" applyBorder="1" applyAlignment="1">
      <alignment horizontal="center"/>
    </xf>
    <xf numFmtId="0" fontId="20" fillId="3" borderId="7" xfId="0" applyFont="1" applyFill="1" applyBorder="1" applyAlignment="1">
      <alignment horizontal="center"/>
    </xf>
    <xf numFmtId="0" fontId="22" fillId="4" borderId="5" xfId="0" applyFont="1" applyFill="1" applyBorder="1" applyAlignment="1">
      <alignment horizontal="center"/>
    </xf>
    <xf numFmtId="0" fontId="23" fillId="4" borderId="5" xfId="0" applyFont="1" applyFill="1" applyBorder="1" applyAlignment="1">
      <alignment horizontal="center"/>
    </xf>
    <xf numFmtId="0" fontId="20" fillId="0" borderId="10" xfId="0" applyFont="1" applyFill="1" applyBorder="1"/>
    <xf numFmtId="0" fontId="20" fillId="0" borderId="11" xfId="0" applyFont="1" applyFill="1" applyBorder="1"/>
    <xf numFmtId="0" fontId="1" fillId="2" borderId="14" xfId="0" applyFont="1" applyFill="1" applyBorder="1"/>
    <xf numFmtId="0" fontId="18" fillId="0" borderId="15" xfId="0" applyFont="1" applyFill="1" applyBorder="1"/>
    <xf numFmtId="0" fontId="6" fillId="4" borderId="15" xfId="0" applyFont="1" applyFill="1" applyBorder="1"/>
    <xf numFmtId="166" fontId="6" fillId="4" borderId="16" xfId="0" applyNumberFormat="1" applyFont="1" applyFill="1" applyBorder="1" applyAlignment="1">
      <alignment horizontal="center"/>
    </xf>
    <xf numFmtId="166" fontId="0" fillId="3" borderId="17" xfId="0" applyNumberFormat="1" applyFont="1" applyFill="1" applyBorder="1" applyAlignment="1">
      <alignment horizontal="center"/>
    </xf>
    <xf numFmtId="165" fontId="0" fillId="3" borderId="17" xfId="0" applyNumberFormat="1" applyFill="1" applyBorder="1" applyAlignment="1">
      <alignment horizontal="center"/>
    </xf>
    <xf numFmtId="0" fontId="18" fillId="0" borderId="20" xfId="0" applyFont="1" applyBorder="1" applyAlignment="1">
      <alignment horizontal="center"/>
    </xf>
    <xf numFmtId="0" fontId="18" fillId="0" borderId="21" xfId="0" applyFont="1" applyBorder="1" applyAlignment="1">
      <alignment horizontal="center"/>
    </xf>
    <xf numFmtId="16" fontId="18" fillId="0" borderId="13" xfId="0" applyNumberFormat="1" applyFont="1" applyBorder="1" applyAlignment="1">
      <alignment horizontal="center"/>
    </xf>
    <xf numFmtId="0" fontId="1" fillId="0" borderId="14" xfId="0" applyFont="1" applyFill="1" applyBorder="1"/>
    <xf numFmtId="0" fontId="25" fillId="4" borderId="0" xfId="0" applyFont="1" applyFill="1"/>
    <xf numFmtId="0" fontId="17" fillId="4" borderId="0" xfId="0" applyFont="1" applyFill="1"/>
    <xf numFmtId="0" fontId="28" fillId="0" borderId="1" xfId="0" applyFont="1" applyBorder="1" applyAlignment="1">
      <alignment horizontal="center"/>
    </xf>
    <xf numFmtId="0" fontId="26" fillId="0" borderId="1" xfId="0" applyFont="1" applyBorder="1"/>
    <xf numFmtId="0" fontId="26" fillId="0" borderId="3" xfId="0" applyFont="1" applyBorder="1"/>
    <xf numFmtId="0" fontId="26" fillId="0" borderId="7" xfId="0" applyFont="1" applyBorder="1"/>
    <xf numFmtId="0" fontId="29" fillId="0" borderId="2" xfId="0" applyFont="1" applyBorder="1"/>
    <xf numFmtId="0" fontId="22" fillId="4" borderId="7" xfId="0" applyFont="1" applyFill="1" applyBorder="1" applyAlignment="1">
      <alignment horizontal="center"/>
    </xf>
    <xf numFmtId="0" fontId="22" fillId="0" borderId="0" xfId="0" applyFont="1" applyFill="1" applyBorder="1" applyAlignment="1">
      <alignment horizontal="center"/>
    </xf>
    <xf numFmtId="0" fontId="0" fillId="0" borderId="2" xfId="0" applyBorder="1"/>
    <xf numFmtId="0" fontId="0" fillId="0" borderId="1" xfId="0" applyBorder="1" applyAlignment="1">
      <alignment horizontal="center"/>
    </xf>
    <xf numFmtId="0" fontId="14" fillId="0" borderId="1" xfId="0" applyFont="1" applyBorder="1" applyAlignment="1">
      <alignment horizontal="center"/>
    </xf>
    <xf numFmtId="0" fontId="0" fillId="0" borderId="1" xfId="0" applyBorder="1"/>
    <xf numFmtId="0" fontId="0" fillId="0" borderId="3" xfId="0" applyBorder="1" applyAlignment="1">
      <alignment horizontal="center"/>
    </xf>
    <xf numFmtId="0" fontId="0" fillId="0" borderId="0" xfId="0" applyBorder="1"/>
    <xf numFmtId="0" fontId="6" fillId="4" borderId="22" xfId="0" applyFont="1" applyFill="1" applyBorder="1"/>
    <xf numFmtId="0" fontId="33" fillId="0" borderId="0" xfId="0" applyFont="1" applyBorder="1"/>
    <xf numFmtId="0" fontId="35" fillId="0" borderId="2" xfId="0" applyFont="1" applyBorder="1" applyAlignment="1">
      <alignment horizontal="center"/>
    </xf>
    <xf numFmtId="0" fontId="0" fillId="0" borderId="18" xfId="0" applyBorder="1" applyAlignment="1">
      <alignment horizontal="center"/>
    </xf>
    <xf numFmtId="0" fontId="0" fillId="0" borderId="6" xfId="0" applyBorder="1" applyAlignment="1">
      <alignment horizontal="center"/>
    </xf>
    <xf numFmtId="0" fontId="0" fillId="0" borderId="2" xfId="0" applyBorder="1" applyAlignment="1"/>
    <xf numFmtId="0" fontId="0" fillId="0" borderId="18" xfId="0"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CA" sz="1200">
                <a:latin typeface="Times New Roman" panose="02020603050405020304" pitchFamily="18" charset="0"/>
                <a:cs typeface="Times New Roman" panose="02020603050405020304" pitchFamily="18" charset="0"/>
              </a:rPr>
              <a:t>Particle-number</a:t>
            </a:r>
            <a:r>
              <a:rPr lang="en-CA" sz="1200" baseline="0">
                <a:latin typeface="Times New Roman" panose="02020603050405020304" pitchFamily="18" charset="0"/>
                <a:cs typeface="Times New Roman" panose="02020603050405020304" pitchFamily="18" charset="0"/>
              </a:rPr>
              <a:t> and particle-volume Kok </a:t>
            </a:r>
            <a:r>
              <a:rPr lang="en-CA" sz="1200">
                <a:latin typeface="Times New Roman" panose="02020603050405020304" pitchFamily="18" charset="0"/>
                <a:cs typeface="Times New Roman" panose="02020603050405020304" pitchFamily="18" charset="0"/>
              </a:rPr>
              <a:t>distributions and derived distributions</a:t>
            </a:r>
          </a:p>
        </c:rich>
      </c:tx>
      <c:layout>
        <c:manualLayout>
          <c:xMode val="edge"/>
          <c:yMode val="edge"/>
          <c:x val="0.18292768959435626"/>
          <c:y val="1.2698412698412698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2355314960629921"/>
          <c:y val="4.0688737862570469E-2"/>
          <c:w val="0.83322462817147858"/>
          <c:h val="0.87622254990957193"/>
        </c:manualLayout>
      </c:layout>
      <c:scatterChart>
        <c:scatterStyle val="lineMarker"/>
        <c:varyColors val="0"/>
        <c:ser>
          <c:idx val="3"/>
          <c:order val="0"/>
          <c:tx>
            <c:v>dῆ / dlnD</c:v>
          </c:tx>
          <c:spPr>
            <a:ln w="12700" cap="rnd">
              <a:solidFill>
                <a:schemeClr val="tx1"/>
              </a:solidFill>
              <a:round/>
            </a:ln>
            <a:effectLst/>
          </c:spPr>
          <c:marker>
            <c:symbol val="circle"/>
            <c:size val="5"/>
            <c:spPr>
              <a:solidFill>
                <a:schemeClr val="tx1"/>
              </a:solidFill>
              <a:ln w="9525">
                <a:solidFill>
                  <a:schemeClr val="bg1">
                    <a:lumMod val="65000"/>
                  </a:schemeClr>
                </a:solidFill>
              </a:ln>
              <a:effectLst/>
            </c:spPr>
          </c:marker>
          <c:xVal>
            <c:numRef>
              <c:f>D_eff_calcs!$D$4:$D$17</c:f>
              <c:numCache>
                <c:formatCode>General</c:formatCode>
                <c:ptCount val="14"/>
                <c:pt idx="0">
                  <c:v>0.23784142300054423</c:v>
                </c:pt>
                <c:pt idx="1">
                  <c:v>0.33635856610148585</c:v>
                </c:pt>
                <c:pt idx="2">
                  <c:v>0.47568284600108851</c:v>
                </c:pt>
                <c:pt idx="3">
                  <c:v>0.6727171322029718</c:v>
                </c:pt>
                <c:pt idx="4">
                  <c:v>0.95136569200217713</c:v>
                </c:pt>
                <c:pt idx="5">
                  <c:v>1.3454342644059438</c:v>
                </c:pt>
                <c:pt idx="6">
                  <c:v>1.9027313840043545</c:v>
                </c:pt>
                <c:pt idx="7">
                  <c:v>2.6908685288118876</c:v>
                </c:pt>
                <c:pt idx="8">
                  <c:v>3.805462768008709</c:v>
                </c:pt>
                <c:pt idx="9">
                  <c:v>5.3817370576237762</c:v>
                </c:pt>
                <c:pt idx="10">
                  <c:v>7.6109255360174206</c:v>
                </c:pt>
                <c:pt idx="11">
                  <c:v>10.763474115247551</c:v>
                </c:pt>
                <c:pt idx="12">
                  <c:v>15.221851072034836</c:v>
                </c:pt>
                <c:pt idx="13">
                  <c:v>21.526948230495101</c:v>
                </c:pt>
              </c:numCache>
            </c:numRef>
          </c:xVal>
          <c:yVal>
            <c:numRef>
              <c:f>D_eff_calcs!$F$4:$F$17</c:f>
              <c:numCache>
                <c:formatCode>0.00000</c:formatCode>
                <c:ptCount val="14"/>
                <c:pt idx="0">
                  <c:v>0.25118864315095801</c:v>
                </c:pt>
                <c:pt idx="1">
                  <c:v>0.31622776601683794</c:v>
                </c:pt>
                <c:pt idx="2">
                  <c:v>0.35481338923357542</c:v>
                </c:pt>
                <c:pt idx="3">
                  <c:v>0.31622776601683794</c:v>
                </c:pt>
                <c:pt idx="4">
                  <c:v>0.2630267991895382</c:v>
                </c:pt>
                <c:pt idx="5">
                  <c:v>0.23442288153199217</c:v>
                </c:pt>
                <c:pt idx="6">
                  <c:v>0.19952623149688795</c:v>
                </c:pt>
                <c:pt idx="7">
                  <c:v>0.12022644346174129</c:v>
                </c:pt>
                <c:pt idx="8">
                  <c:v>0.08</c:v>
                </c:pt>
                <c:pt idx="9">
                  <c:v>4.4668359215096293E-2</c:v>
                </c:pt>
                <c:pt idx="10">
                  <c:v>2.0892961308540386E-2</c:v>
                </c:pt>
                <c:pt idx="11">
                  <c:v>7.9432823472428121E-3</c:v>
                </c:pt>
                <c:pt idx="12">
                  <c:v>1.2589254117941662E-3</c:v>
                </c:pt>
                <c:pt idx="13" formatCode="General">
                  <c:v>5.0000000000000002E-5</c:v>
                </c:pt>
              </c:numCache>
            </c:numRef>
          </c:yVal>
          <c:smooth val="0"/>
          <c:extLst>
            <c:ext xmlns:c16="http://schemas.microsoft.com/office/drawing/2014/chart" uri="{C3380CC4-5D6E-409C-BE32-E72D297353CC}">
              <c16:uniqueId val="{00000001-671F-4F96-B268-C6A93BE24EE7}"/>
            </c:ext>
          </c:extLst>
        </c:ser>
        <c:ser>
          <c:idx val="0"/>
          <c:order val="1"/>
          <c:tx>
            <c:v>dṽ/dlnD</c:v>
          </c:tx>
          <c:spPr>
            <a:ln w="12700" cap="rnd">
              <a:solidFill>
                <a:schemeClr val="accent4">
                  <a:lumMod val="75000"/>
                </a:schemeClr>
              </a:solidFill>
              <a:prstDash val="solid"/>
              <a:round/>
            </a:ln>
            <a:effectLst/>
          </c:spPr>
          <c:marker>
            <c:symbol val="circle"/>
            <c:size val="5"/>
            <c:spPr>
              <a:solidFill>
                <a:schemeClr val="accent4">
                  <a:lumMod val="75000"/>
                </a:schemeClr>
              </a:solidFill>
              <a:ln w="9525">
                <a:solidFill>
                  <a:schemeClr val="accent4">
                    <a:lumMod val="75000"/>
                  </a:schemeClr>
                </a:solidFill>
              </a:ln>
              <a:effectLst/>
            </c:spPr>
          </c:marker>
          <c:xVal>
            <c:numRef>
              <c:f>D_eff_calcs!$D$4:$D$17</c:f>
              <c:numCache>
                <c:formatCode>General</c:formatCode>
                <c:ptCount val="14"/>
                <c:pt idx="0">
                  <c:v>0.23784142300054423</c:v>
                </c:pt>
                <c:pt idx="1">
                  <c:v>0.33635856610148585</c:v>
                </c:pt>
                <c:pt idx="2">
                  <c:v>0.47568284600108851</c:v>
                </c:pt>
                <c:pt idx="3">
                  <c:v>0.6727171322029718</c:v>
                </c:pt>
                <c:pt idx="4">
                  <c:v>0.95136569200217713</c:v>
                </c:pt>
                <c:pt idx="5">
                  <c:v>1.3454342644059438</c:v>
                </c:pt>
                <c:pt idx="6">
                  <c:v>1.9027313840043545</c:v>
                </c:pt>
                <c:pt idx="7">
                  <c:v>2.6908685288118876</c:v>
                </c:pt>
                <c:pt idx="8">
                  <c:v>3.805462768008709</c:v>
                </c:pt>
                <c:pt idx="9">
                  <c:v>5.3817370576237762</c:v>
                </c:pt>
                <c:pt idx="10">
                  <c:v>7.6109255360174206</c:v>
                </c:pt>
                <c:pt idx="11">
                  <c:v>10.763474115247551</c:v>
                </c:pt>
                <c:pt idx="12">
                  <c:v>15.221851072034836</c:v>
                </c:pt>
                <c:pt idx="13">
                  <c:v>21.526948230495101</c:v>
                </c:pt>
              </c:numCache>
            </c:numRef>
          </c:xVal>
          <c:yVal>
            <c:numRef>
              <c:f>D_eff_calcs!$H$4:$H$17</c:f>
              <c:numCache>
                <c:formatCode>General</c:formatCode>
                <c:ptCount val="14"/>
                <c:pt idx="0">
                  <c:v>2.9999999999999997E-4</c:v>
                </c:pt>
                <c:pt idx="1">
                  <c:v>8.9999999999999998E-4</c:v>
                </c:pt>
                <c:pt idx="2">
                  <c:v>2.5999999999999999E-3</c:v>
                </c:pt>
                <c:pt idx="3">
                  <c:v>7.0000000000000001E-3</c:v>
                </c:pt>
                <c:pt idx="4">
                  <c:v>1.7999999999999999E-2</c:v>
                </c:pt>
                <c:pt idx="5">
                  <c:v>4.5999999999999999E-2</c:v>
                </c:pt>
                <c:pt idx="6">
                  <c:v>0.09</c:v>
                </c:pt>
                <c:pt idx="7">
                  <c:v>0.18</c:v>
                </c:pt>
                <c:pt idx="8">
                  <c:v>0.3</c:v>
                </c:pt>
                <c:pt idx="9">
                  <c:v>0.5</c:v>
                </c:pt>
                <c:pt idx="10">
                  <c:v>0.66</c:v>
                </c:pt>
                <c:pt idx="11">
                  <c:v>0.7</c:v>
                </c:pt>
                <c:pt idx="12">
                  <c:v>0.21</c:v>
                </c:pt>
                <c:pt idx="13">
                  <c:v>2.1000000000000001E-2</c:v>
                </c:pt>
              </c:numCache>
            </c:numRef>
          </c:yVal>
          <c:smooth val="0"/>
          <c:extLst>
            <c:ext xmlns:c16="http://schemas.microsoft.com/office/drawing/2014/chart" uri="{C3380CC4-5D6E-409C-BE32-E72D297353CC}">
              <c16:uniqueId val="{00000000-736B-448B-9DBF-3B7BC0564470}"/>
            </c:ext>
          </c:extLst>
        </c:ser>
        <c:ser>
          <c:idx val="4"/>
          <c:order val="2"/>
          <c:tx>
            <c:v>Ckok x vsp(D) x  [dῆ/dlnD]</c:v>
          </c:tx>
          <c:spPr>
            <a:ln w="12700" cap="rnd">
              <a:solidFill>
                <a:schemeClr val="tx1"/>
              </a:solidFill>
              <a:round/>
            </a:ln>
            <a:effectLst/>
          </c:spPr>
          <c:marker>
            <c:symbol val="circle"/>
            <c:size val="5"/>
            <c:spPr>
              <a:noFill/>
              <a:ln w="9525">
                <a:solidFill>
                  <a:schemeClr val="tx1"/>
                </a:solidFill>
              </a:ln>
              <a:effectLst/>
            </c:spPr>
          </c:marker>
          <c:xVal>
            <c:numRef>
              <c:f>D_eff_calcs!$D$4:$D$17</c:f>
              <c:numCache>
                <c:formatCode>General</c:formatCode>
                <c:ptCount val="14"/>
                <c:pt idx="0">
                  <c:v>0.23784142300054423</c:v>
                </c:pt>
                <c:pt idx="1">
                  <c:v>0.33635856610148585</c:v>
                </c:pt>
                <c:pt idx="2">
                  <c:v>0.47568284600108851</c:v>
                </c:pt>
                <c:pt idx="3">
                  <c:v>0.6727171322029718</c:v>
                </c:pt>
                <c:pt idx="4">
                  <c:v>0.95136569200217713</c:v>
                </c:pt>
                <c:pt idx="5">
                  <c:v>1.3454342644059438</c:v>
                </c:pt>
                <c:pt idx="6">
                  <c:v>1.9027313840043545</c:v>
                </c:pt>
                <c:pt idx="7">
                  <c:v>2.6908685288118876</c:v>
                </c:pt>
                <c:pt idx="8">
                  <c:v>3.805462768008709</c:v>
                </c:pt>
                <c:pt idx="9">
                  <c:v>5.3817370576237762</c:v>
                </c:pt>
                <c:pt idx="10">
                  <c:v>7.6109255360174206</c:v>
                </c:pt>
                <c:pt idx="11">
                  <c:v>10.763474115247551</c:v>
                </c:pt>
                <c:pt idx="12">
                  <c:v>15.221851072034836</c:v>
                </c:pt>
                <c:pt idx="13">
                  <c:v>21.526948230495101</c:v>
                </c:pt>
              </c:numCache>
            </c:numRef>
          </c:xVal>
          <c:yVal>
            <c:numRef>
              <c:f>D_eff_calcs!$I$4:$I$17</c:f>
              <c:numCache>
                <c:formatCode>General</c:formatCode>
                <c:ptCount val="14"/>
                <c:pt idx="0">
                  <c:v>2.5545004152714474E-4</c:v>
                </c:pt>
                <c:pt idx="1">
                  <c:v>9.0960108792269084E-4</c:v>
                </c:pt>
                <c:pt idx="2">
                  <c:v>2.8866621954602698E-3</c:v>
                </c:pt>
                <c:pt idx="3">
                  <c:v>7.2768087033815302E-3</c:v>
                </c:pt>
                <c:pt idx="4">
                  <c:v>1.7119297989367122E-2</c:v>
                </c:pt>
                <c:pt idx="5">
                  <c:v>4.315498252643505E-2</c:v>
                </c:pt>
                <c:pt idx="6">
                  <c:v>0.10389052443980874</c:v>
                </c:pt>
                <c:pt idx="7">
                  <c:v>0.17706019251704516</c:v>
                </c:pt>
                <c:pt idx="8">
                  <c:v>0.33323906908207535</c:v>
                </c:pt>
                <c:pt idx="9">
                  <c:v>0.52627279352647871</c:v>
                </c:pt>
                <c:pt idx="10">
                  <c:v>0.69623509768258252</c:v>
                </c:pt>
                <c:pt idx="11">
                  <c:v>0.74868805823344176</c:v>
                </c:pt>
                <c:pt idx="12">
                  <c:v>0.33561850581604502</c:v>
                </c:pt>
                <c:pt idx="13">
                  <c:v>3.7701696880676462E-2</c:v>
                </c:pt>
              </c:numCache>
            </c:numRef>
          </c:yVal>
          <c:smooth val="0"/>
          <c:extLst>
            <c:ext xmlns:c16="http://schemas.microsoft.com/office/drawing/2014/chart" uri="{C3380CC4-5D6E-409C-BE32-E72D297353CC}">
              <c16:uniqueId val="{00000003-671F-4F96-B268-C6A93BE24EE7}"/>
            </c:ext>
          </c:extLst>
        </c:ser>
        <c:ser>
          <c:idx val="2"/>
          <c:order val="3"/>
          <c:tx>
            <c:v>vsp(D)  x [dῆ/dlnD] </c:v>
          </c:tx>
          <c:spPr>
            <a:ln w="12700" cap="rnd">
              <a:solidFill>
                <a:schemeClr val="bg1">
                  <a:lumMod val="65000"/>
                </a:schemeClr>
              </a:solidFill>
              <a:prstDash val="lgDash"/>
              <a:round/>
            </a:ln>
            <a:effectLst/>
          </c:spPr>
          <c:marker>
            <c:symbol val="circle"/>
            <c:size val="5"/>
            <c:spPr>
              <a:noFill/>
              <a:ln w="9525">
                <a:solidFill>
                  <a:schemeClr val="bg1">
                    <a:lumMod val="65000"/>
                  </a:schemeClr>
                </a:solidFill>
              </a:ln>
              <a:effectLst/>
            </c:spPr>
          </c:marker>
          <c:xVal>
            <c:numRef>
              <c:f>D_eff_calcs!$D$4:$D$17</c:f>
              <c:numCache>
                <c:formatCode>General</c:formatCode>
                <c:ptCount val="14"/>
                <c:pt idx="0">
                  <c:v>0.23784142300054423</c:v>
                </c:pt>
                <c:pt idx="1">
                  <c:v>0.33635856610148585</c:v>
                </c:pt>
                <c:pt idx="2">
                  <c:v>0.47568284600108851</c:v>
                </c:pt>
                <c:pt idx="3">
                  <c:v>0.6727171322029718</c:v>
                </c:pt>
                <c:pt idx="4">
                  <c:v>0.95136569200217713</c:v>
                </c:pt>
                <c:pt idx="5">
                  <c:v>1.3454342644059438</c:v>
                </c:pt>
                <c:pt idx="6">
                  <c:v>1.9027313840043545</c:v>
                </c:pt>
                <c:pt idx="7">
                  <c:v>2.6908685288118876</c:v>
                </c:pt>
                <c:pt idx="8">
                  <c:v>3.805462768008709</c:v>
                </c:pt>
                <c:pt idx="9">
                  <c:v>5.3817370576237762</c:v>
                </c:pt>
                <c:pt idx="10">
                  <c:v>7.6109255360174206</c:v>
                </c:pt>
                <c:pt idx="11">
                  <c:v>10.763474115247551</c:v>
                </c:pt>
                <c:pt idx="12">
                  <c:v>15.221851072034836</c:v>
                </c:pt>
                <c:pt idx="13">
                  <c:v>21.526948230495101</c:v>
                </c:pt>
              </c:numCache>
            </c:numRef>
          </c:xVal>
          <c:yVal>
            <c:numRef>
              <c:f>D_eff_calcs!$J$4:$J$17</c:f>
              <c:numCache>
                <c:formatCode>General</c:formatCode>
                <c:ptCount val="14"/>
                <c:pt idx="0">
                  <c:v>1.769542941192224E-3</c:v>
                </c:pt>
                <c:pt idx="1">
                  <c:v>6.3009509601638777E-3</c:v>
                </c:pt>
                <c:pt idx="2">
                  <c:v>1.9996366730049533E-2</c:v>
                </c:pt>
                <c:pt idx="3">
                  <c:v>5.0407607681311049E-2</c:v>
                </c:pt>
                <c:pt idx="4">
                  <c:v>0.11858809156635733</c:v>
                </c:pt>
                <c:pt idx="5">
                  <c:v>0.29894140650907752</c:v>
                </c:pt>
                <c:pt idx="6">
                  <c:v>0.71966613542196922</c:v>
                </c:pt>
                <c:pt idx="7">
                  <c:v>1.2265240277965657</c:v>
                </c:pt>
                <c:pt idx="8">
                  <c:v>2.3083998691031469</c:v>
                </c:pt>
                <c:pt idx="9">
                  <c:v>3.6455750852846704</c:v>
                </c:pt>
                <c:pt idx="10">
                  <c:v>4.8229309149811792</c:v>
                </c:pt>
                <c:pt idx="11">
                  <c:v>5.186280889530094</c:v>
                </c:pt>
                <c:pt idx="12">
                  <c:v>2.3248826046370228</c:v>
                </c:pt>
                <c:pt idx="13">
                  <c:v>0.26116563218127586</c:v>
                </c:pt>
              </c:numCache>
            </c:numRef>
          </c:yVal>
          <c:smooth val="0"/>
          <c:extLst>
            <c:ext xmlns:c16="http://schemas.microsoft.com/office/drawing/2014/chart" uri="{C3380CC4-5D6E-409C-BE32-E72D297353CC}">
              <c16:uniqueId val="{00000001-FC08-4C5D-941E-8C32EDA49600}"/>
            </c:ext>
          </c:extLst>
        </c:ser>
        <c:dLbls>
          <c:showLegendKey val="0"/>
          <c:showVal val="0"/>
          <c:showCatName val="0"/>
          <c:showSerName val="0"/>
          <c:showPercent val="0"/>
          <c:showBubbleSize val="0"/>
        </c:dLbls>
        <c:axId val="1356380799"/>
        <c:axId val="1356381215"/>
      </c:scatterChart>
      <c:valAx>
        <c:axId val="1356380799"/>
        <c:scaling>
          <c:logBase val="10"/>
          <c:orientation val="minMax"/>
          <c:max val="25"/>
          <c:min val="0.2"/>
        </c:scaling>
        <c:delete val="0"/>
        <c:axPos val="b"/>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CA" sz="1200">
                    <a:latin typeface="Times New Roman" panose="02020603050405020304" pitchFamily="18" charset="0"/>
                    <a:cs typeface="Times New Roman" panose="02020603050405020304" pitchFamily="18" charset="0"/>
                  </a:rPr>
                  <a:t>Diameter (um)</a:t>
                </a:r>
              </a:p>
            </c:rich>
          </c:tx>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in"/>
        <c:minorTickMark val="in"/>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356381215"/>
        <c:crossesAt val="1.0000000000000003E-4"/>
        <c:crossBetween val="midCat"/>
      </c:valAx>
      <c:valAx>
        <c:axId val="1356381215"/>
        <c:scaling>
          <c:logBase val="10"/>
          <c:orientation val="minMax"/>
          <c:min val="1.0000000000000002E-3"/>
        </c:scaling>
        <c:delete val="0"/>
        <c:axPos val="l"/>
        <c:numFmt formatCode="0.00000" sourceLinked="1"/>
        <c:majorTickMark val="in"/>
        <c:minorTickMark val="in"/>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1356380799"/>
        <c:crossesAt val="0.2"/>
        <c:crossBetween val="midCat"/>
        <c:majorUnit val="1"/>
      </c:valAx>
      <c:spPr>
        <a:noFill/>
        <a:ln>
          <a:noFill/>
        </a:ln>
        <a:effectLst/>
      </c:spPr>
    </c:plotArea>
    <c:legend>
      <c:legendPos val="t"/>
      <c:legendEntry>
        <c:idx val="0"/>
        <c:txPr>
          <a:bodyPr rot="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Entry>
      <c:legendEntry>
        <c:idx val="1"/>
        <c:txPr>
          <a:bodyPr rot="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Entry>
      <c:legendEntry>
        <c:idx val="2"/>
        <c:txPr>
          <a:bodyPr rot="0" spcFirstLastPara="1" vertOverflow="ellipsis" vert="horz" wrap="square" anchor="ctr" anchorCtr="1"/>
          <a:lstStyle/>
          <a:p>
            <a:pPr>
              <a:defRPr sz="11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Entry>
      <c:legendEntry>
        <c:idx val="3"/>
        <c:txPr>
          <a:bodyPr rot="0" spcFirstLastPara="1" vertOverflow="ellipsis" vert="horz" wrap="square" anchor="ctr" anchorCtr="1"/>
          <a:lstStyle/>
          <a:p>
            <a:pPr>
              <a:defRPr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legendEntry>
      <c:layout>
        <c:manualLayout>
          <c:xMode val="edge"/>
          <c:yMode val="edge"/>
          <c:x val="0.13067699870849478"/>
          <c:y val="0.10213433548079218"/>
          <c:w val="0.4056408573928259"/>
          <c:h val="0.20757490540955109"/>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11</xdr:col>
      <xdr:colOff>276225</xdr:colOff>
      <xdr:row>0</xdr:row>
      <xdr:rowOff>180975</xdr:rowOff>
    </xdr:from>
    <xdr:to>
      <xdr:col>23</xdr:col>
      <xdr:colOff>161925</xdr:colOff>
      <xdr:row>30</xdr:row>
      <xdr:rowOff>133350</xdr:rowOff>
    </xdr:to>
    <xdr:graphicFrame macro="">
      <xdr:nvGraphicFramePr>
        <xdr:cNvPr id="2" name="Chart 1">
          <a:extLst>
            <a:ext uri="{FF2B5EF4-FFF2-40B4-BE49-F238E27FC236}">
              <a16:creationId xmlns:a16="http://schemas.microsoft.com/office/drawing/2014/main" id="{E3FF2A05-AB62-473A-B22C-B221288F41E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6"/>
  <sheetViews>
    <sheetView topLeftCell="A5" zoomScaleNormal="100" workbookViewId="0">
      <selection activeCell="F25" sqref="F25"/>
    </sheetView>
  </sheetViews>
  <sheetFormatPr defaultRowHeight="14.4"/>
  <cols>
    <col min="1" max="1" width="3.109375" customWidth="1"/>
    <col min="2" max="2" width="6.33203125" customWidth="1"/>
    <col min="3" max="3" width="6" customWidth="1"/>
    <col min="4" max="5" width="6.33203125" customWidth="1"/>
    <col min="6" max="6" width="7.5546875" customWidth="1"/>
    <col min="7" max="7" width="8.33203125" customWidth="1"/>
    <col min="8" max="8" width="7.88671875" customWidth="1"/>
    <col min="9" max="9" width="10.33203125" customWidth="1"/>
    <col min="10" max="10" width="9.33203125" customWidth="1"/>
    <col min="11" max="11" width="5.33203125" customWidth="1"/>
  </cols>
  <sheetData>
    <row r="1" spans="1:10" ht="15">
      <c r="B1" s="66" t="s">
        <v>17</v>
      </c>
      <c r="C1" s="5">
        <f>LN(SQRT(2))</f>
        <v>0.3465735902799727</v>
      </c>
      <c r="F1" s="42" t="s">
        <v>33</v>
      </c>
      <c r="G1" s="43" t="s">
        <v>18</v>
      </c>
      <c r="H1" s="44" t="s">
        <v>36</v>
      </c>
      <c r="I1" s="67" t="s">
        <v>19</v>
      </c>
      <c r="J1" s="45" t="s">
        <v>20</v>
      </c>
    </row>
    <row r="2" spans="1:10">
      <c r="B2" s="1"/>
      <c r="C2" s="1"/>
      <c r="D2" s="1"/>
      <c r="F2" s="46" t="s">
        <v>32</v>
      </c>
      <c r="G2" s="39" t="s">
        <v>34</v>
      </c>
      <c r="H2" s="47" t="s">
        <v>35</v>
      </c>
      <c r="I2" s="38" t="s">
        <v>37</v>
      </c>
      <c r="J2" s="41" t="s">
        <v>37</v>
      </c>
    </row>
    <row r="3" spans="1:10" ht="15">
      <c r="A3" s="62" t="s">
        <v>0</v>
      </c>
      <c r="B3" s="63" t="s">
        <v>13</v>
      </c>
      <c r="C3" s="64" t="s">
        <v>14</v>
      </c>
      <c r="D3" s="65" t="s">
        <v>15</v>
      </c>
      <c r="E3" s="63" t="s">
        <v>16</v>
      </c>
      <c r="F3" s="38"/>
      <c r="G3" s="39"/>
      <c r="H3" s="40"/>
      <c r="I3" s="38"/>
      <c r="J3" s="41"/>
    </row>
    <row r="4" spans="1:10">
      <c r="A4" s="2">
        <v>1</v>
      </c>
      <c r="B4" s="2">
        <f>LN(0.2)</f>
        <v>-1.6094379124341003</v>
      </c>
      <c r="C4" s="2">
        <f>EXP(B4)</f>
        <v>0.2</v>
      </c>
      <c r="D4" s="8">
        <f t="shared" ref="D4:D17" si="0">EXP(B4+$C$1/2)</f>
        <v>0.23784142300054423</v>
      </c>
      <c r="E4" s="2">
        <f>LN(D4)</f>
        <v>-1.4361511172941139</v>
      </c>
      <c r="F4" s="14">
        <f>10^-0.6</f>
        <v>0.25118864315095801</v>
      </c>
      <c r="G4" s="31">
        <f t="shared" ref="G4:G17" si="1">PI()*(D4/2)^2*F4</f>
        <v>1.1160017369145417E-2</v>
      </c>
      <c r="H4" s="34">
        <v>2.9999999999999997E-4</v>
      </c>
      <c r="I4" s="17">
        <f t="shared" ref="I4:I17" si="2">J4*$J$25</f>
        <v>2.5545004152714474E-4</v>
      </c>
      <c r="J4" s="12">
        <f t="shared" ref="J4:J17" si="3">4/3*PI()*(D4/2)^3*F4</f>
        <v>1.769542941192224E-3</v>
      </c>
    </row>
    <row r="5" spans="1:10">
      <c r="A5" s="3">
        <v>2</v>
      </c>
      <c r="B5" s="3">
        <f t="shared" ref="B5:B17" si="4">B4+$C$1</f>
        <v>-1.2628643221541276</v>
      </c>
      <c r="C5" s="3">
        <f t="shared" ref="C5:C17" si="5">EXP(B5)</f>
        <v>0.28284271247461906</v>
      </c>
      <c r="D5" s="9">
        <f t="shared" si="0"/>
        <v>0.33635856610148585</v>
      </c>
      <c r="E5" s="3">
        <f t="shared" ref="E5:E17" si="6">LN(D5)</f>
        <v>-1.0895775270141412</v>
      </c>
      <c r="F5" s="15">
        <f>10^-0.5</f>
        <v>0.31622776601683794</v>
      </c>
      <c r="G5" s="32">
        <f t="shared" si="1"/>
        <v>2.8099258924162908E-2</v>
      </c>
      <c r="H5" s="35">
        <v>8.9999999999999998E-4</v>
      </c>
      <c r="I5" s="17">
        <f t="shared" si="2"/>
        <v>9.0960108792269084E-4</v>
      </c>
      <c r="J5" s="13">
        <f t="shared" si="3"/>
        <v>6.3009509601638777E-3</v>
      </c>
    </row>
    <row r="6" spans="1:10">
      <c r="A6" s="3">
        <v>3</v>
      </c>
      <c r="B6" s="3">
        <f t="shared" si="4"/>
        <v>-0.91629073187415488</v>
      </c>
      <c r="C6" s="3">
        <f t="shared" si="5"/>
        <v>0.40000000000000008</v>
      </c>
      <c r="D6" s="9">
        <f t="shared" si="0"/>
        <v>0.47568284600108851</v>
      </c>
      <c r="E6" s="3">
        <f t="shared" si="6"/>
        <v>-0.74300393673416854</v>
      </c>
      <c r="F6" s="15">
        <f>10^-0.45</f>
        <v>0.35481338923357542</v>
      </c>
      <c r="G6" s="32">
        <f t="shared" si="1"/>
        <v>6.3055774130239842E-2</v>
      </c>
      <c r="H6" s="35">
        <v>2.5999999999999999E-3</v>
      </c>
      <c r="I6" s="17">
        <f t="shared" si="2"/>
        <v>2.8866621954602698E-3</v>
      </c>
      <c r="J6" s="13">
        <f t="shared" si="3"/>
        <v>1.9996366730049533E-2</v>
      </c>
    </row>
    <row r="7" spans="1:10">
      <c r="A7" s="3">
        <v>4</v>
      </c>
      <c r="B7" s="3">
        <f t="shared" si="4"/>
        <v>-0.56971714159418219</v>
      </c>
      <c r="C7" s="3">
        <f t="shared" si="5"/>
        <v>0.56568542494923812</v>
      </c>
      <c r="D7" s="9">
        <f t="shared" si="0"/>
        <v>0.6727171322029718</v>
      </c>
      <c r="E7" s="3">
        <f t="shared" si="6"/>
        <v>-0.39643034645419584</v>
      </c>
      <c r="F7" s="15">
        <f>10^-0.5</f>
        <v>0.31622776601683794</v>
      </c>
      <c r="G7" s="32">
        <f t="shared" si="1"/>
        <v>0.11239703569665169</v>
      </c>
      <c r="H7" s="35">
        <v>7.0000000000000001E-3</v>
      </c>
      <c r="I7" s="17">
        <f t="shared" si="2"/>
        <v>7.2768087033815302E-3</v>
      </c>
      <c r="J7" s="13">
        <f t="shared" si="3"/>
        <v>5.0407607681311049E-2</v>
      </c>
    </row>
    <row r="8" spans="1:10">
      <c r="A8" s="3">
        <v>5</v>
      </c>
      <c r="B8" s="3">
        <f t="shared" si="4"/>
        <v>-0.22314355131420949</v>
      </c>
      <c r="C8" s="3">
        <f t="shared" si="5"/>
        <v>0.80000000000000027</v>
      </c>
      <c r="D8" s="9">
        <f t="shared" si="0"/>
        <v>0.95136569200217713</v>
      </c>
      <c r="E8" s="3">
        <f t="shared" si="6"/>
        <v>-4.9856756174223138E-2</v>
      </c>
      <c r="F8" s="15">
        <f>10^-0.58</f>
        <v>0.2630267991895382</v>
      </c>
      <c r="G8" s="32">
        <f t="shared" si="1"/>
        <v>0.18697556454361708</v>
      </c>
      <c r="H8" s="35">
        <v>1.7999999999999999E-2</v>
      </c>
      <c r="I8" s="17">
        <f t="shared" si="2"/>
        <v>1.7119297989367122E-2</v>
      </c>
      <c r="J8" s="13">
        <f t="shared" si="3"/>
        <v>0.11858809156635733</v>
      </c>
    </row>
    <row r="9" spans="1:10">
      <c r="A9" s="3">
        <v>6</v>
      </c>
      <c r="B9" s="3">
        <f t="shared" si="4"/>
        <v>0.12343003896576321</v>
      </c>
      <c r="C9" s="3">
        <f t="shared" si="5"/>
        <v>1.1313708498984765</v>
      </c>
      <c r="D9" s="9">
        <f t="shared" si="0"/>
        <v>1.3454342644059438</v>
      </c>
      <c r="E9" s="3">
        <f t="shared" si="6"/>
        <v>0.29671683410574962</v>
      </c>
      <c r="F9" s="15">
        <f>10^-0.63</f>
        <v>0.23442288153199217</v>
      </c>
      <c r="G9" s="32">
        <f t="shared" si="1"/>
        <v>0.33328429461517084</v>
      </c>
      <c r="H9" s="35">
        <v>4.5999999999999999E-2</v>
      </c>
      <c r="I9" s="17">
        <f t="shared" si="2"/>
        <v>4.315498252643505E-2</v>
      </c>
      <c r="J9" s="13">
        <f t="shared" si="3"/>
        <v>0.29894140650907752</v>
      </c>
    </row>
    <row r="10" spans="1:10">
      <c r="A10" s="3">
        <v>7</v>
      </c>
      <c r="B10" s="3">
        <f t="shared" si="4"/>
        <v>0.47000362924573591</v>
      </c>
      <c r="C10" s="3">
        <f t="shared" si="5"/>
        <v>1.6000000000000005</v>
      </c>
      <c r="D10" s="9">
        <f t="shared" si="0"/>
        <v>1.9027313840043545</v>
      </c>
      <c r="E10" s="3">
        <f t="shared" si="6"/>
        <v>0.64329042438572226</v>
      </c>
      <c r="F10" s="15">
        <f>10^-0.7</f>
        <v>0.19952623149688795</v>
      </c>
      <c r="G10" s="32">
        <f t="shared" si="1"/>
        <v>0.56734188136483876</v>
      </c>
      <c r="H10" s="35">
        <v>0.09</v>
      </c>
      <c r="I10" s="17">
        <f t="shared" si="2"/>
        <v>0.10389052443980874</v>
      </c>
      <c r="J10" s="13">
        <f t="shared" si="3"/>
        <v>0.71966613542196922</v>
      </c>
    </row>
    <row r="11" spans="1:10">
      <c r="A11" s="3">
        <v>8</v>
      </c>
      <c r="B11" s="3">
        <f t="shared" si="4"/>
        <v>0.81657721952570861</v>
      </c>
      <c r="C11" s="3">
        <f t="shared" si="5"/>
        <v>2.2627416997969529</v>
      </c>
      <c r="D11" s="9">
        <f t="shared" si="0"/>
        <v>2.6908685288118876</v>
      </c>
      <c r="E11" s="3">
        <f t="shared" si="6"/>
        <v>0.98986401466569496</v>
      </c>
      <c r="F11" s="15">
        <f>10^-0.92</f>
        <v>0.12022644346174129</v>
      </c>
      <c r="G11" s="32">
        <f t="shared" si="1"/>
        <v>0.68371457839568928</v>
      </c>
      <c r="H11" s="35">
        <v>0.18</v>
      </c>
      <c r="I11" s="17">
        <f t="shared" si="2"/>
        <v>0.17706019251704516</v>
      </c>
      <c r="J11" s="13">
        <f t="shared" si="3"/>
        <v>1.2265240277965657</v>
      </c>
    </row>
    <row r="12" spans="1:10">
      <c r="A12" s="3">
        <v>9</v>
      </c>
      <c r="B12" s="3">
        <f t="shared" si="4"/>
        <v>1.1631508098056813</v>
      </c>
      <c r="C12" s="3">
        <f t="shared" si="5"/>
        <v>3.2000000000000015</v>
      </c>
      <c r="D12" s="9">
        <f t="shared" si="0"/>
        <v>3.805462768008709</v>
      </c>
      <c r="E12" s="3">
        <f t="shared" si="6"/>
        <v>1.3364376049456677</v>
      </c>
      <c r="F12" s="15">
        <v>0.08</v>
      </c>
      <c r="G12" s="32">
        <f t="shared" si="1"/>
        <v>0.90990242573483415</v>
      </c>
      <c r="H12" s="35">
        <v>0.3</v>
      </c>
      <c r="I12" s="17">
        <f t="shared" si="2"/>
        <v>0.33323906908207535</v>
      </c>
      <c r="J12" s="13">
        <f t="shared" si="3"/>
        <v>2.3083998691031469</v>
      </c>
    </row>
    <row r="13" spans="1:10">
      <c r="A13" s="3">
        <v>10</v>
      </c>
      <c r="B13" s="3">
        <f t="shared" si="4"/>
        <v>1.509724400085654</v>
      </c>
      <c r="C13" s="3">
        <f t="shared" si="5"/>
        <v>4.5254833995939068</v>
      </c>
      <c r="D13" s="9">
        <f t="shared" si="0"/>
        <v>5.3817370576237762</v>
      </c>
      <c r="E13" s="3">
        <f t="shared" si="6"/>
        <v>1.6830111952256404</v>
      </c>
      <c r="F13" s="15">
        <f>10^-1.35</f>
        <v>4.4668359215096293E-2</v>
      </c>
      <c r="G13" s="32">
        <f t="shared" si="1"/>
        <v>1.0160962100852766</v>
      </c>
      <c r="H13" s="35">
        <v>0.5</v>
      </c>
      <c r="I13" s="17">
        <f t="shared" si="2"/>
        <v>0.52627279352647871</v>
      </c>
      <c r="J13" s="13">
        <f t="shared" si="3"/>
        <v>3.6455750852846704</v>
      </c>
    </row>
    <row r="14" spans="1:10">
      <c r="A14" s="3">
        <v>11</v>
      </c>
      <c r="B14" s="3">
        <f t="shared" si="4"/>
        <v>1.8562979903656267</v>
      </c>
      <c r="C14" s="3">
        <f t="shared" si="5"/>
        <v>6.400000000000003</v>
      </c>
      <c r="D14" s="9">
        <f t="shared" si="0"/>
        <v>7.6109255360174206</v>
      </c>
      <c r="E14" s="3">
        <f t="shared" si="6"/>
        <v>2.0295847855056133</v>
      </c>
      <c r="F14" s="15">
        <f>10^-1.68</f>
        <v>2.0892961308540386E-2</v>
      </c>
      <c r="G14" s="32">
        <f t="shared" si="1"/>
        <v>0.95052780877124721</v>
      </c>
      <c r="H14" s="35">
        <v>0.66</v>
      </c>
      <c r="I14" s="17">
        <f t="shared" si="2"/>
        <v>0.69623509768258252</v>
      </c>
      <c r="J14" s="13">
        <f t="shared" si="3"/>
        <v>4.8229309149811792</v>
      </c>
    </row>
    <row r="15" spans="1:10">
      <c r="A15" s="3">
        <v>12</v>
      </c>
      <c r="B15" s="3">
        <f t="shared" si="4"/>
        <v>2.2028715806455992</v>
      </c>
      <c r="C15" s="3">
        <f t="shared" si="5"/>
        <v>9.0509667991878118</v>
      </c>
      <c r="D15" s="9">
        <f t="shared" si="0"/>
        <v>10.763474115247551</v>
      </c>
      <c r="E15" s="3">
        <f t="shared" si="6"/>
        <v>2.3761583757855855</v>
      </c>
      <c r="F15" s="15">
        <f>10^-2.1</f>
        <v>7.9432823472428121E-3</v>
      </c>
      <c r="G15" s="32">
        <f t="shared" si="1"/>
        <v>0.72276118760529218</v>
      </c>
      <c r="H15" s="35">
        <v>0.7</v>
      </c>
      <c r="I15" s="17">
        <f t="shared" si="2"/>
        <v>0.74868805823344176</v>
      </c>
      <c r="J15" s="13">
        <f t="shared" si="3"/>
        <v>5.186280889530094</v>
      </c>
    </row>
    <row r="16" spans="1:10">
      <c r="A16" s="3">
        <v>13</v>
      </c>
      <c r="B16" s="3">
        <f t="shared" si="4"/>
        <v>2.5494451709255719</v>
      </c>
      <c r="C16" s="3">
        <f t="shared" si="5"/>
        <v>12.800000000000004</v>
      </c>
      <c r="D16" s="9">
        <f t="shared" si="0"/>
        <v>15.221851072034836</v>
      </c>
      <c r="E16" s="3">
        <f t="shared" si="6"/>
        <v>2.7227319660655582</v>
      </c>
      <c r="F16" s="15">
        <f>10^-2.9</f>
        <v>1.2589254117941662E-3</v>
      </c>
      <c r="G16" s="32">
        <f t="shared" si="1"/>
        <v>0.22909985720214734</v>
      </c>
      <c r="H16" s="35">
        <v>0.21</v>
      </c>
      <c r="I16" s="17">
        <f t="shared" si="2"/>
        <v>0.33561850581604502</v>
      </c>
      <c r="J16" s="13">
        <f t="shared" si="3"/>
        <v>2.3248826046370228</v>
      </c>
    </row>
    <row r="17" spans="1:11" ht="15" thickBot="1">
      <c r="A17" s="4">
        <v>14</v>
      </c>
      <c r="B17" s="4">
        <f t="shared" si="4"/>
        <v>2.8960187612055446</v>
      </c>
      <c r="C17" s="4">
        <f t="shared" si="5"/>
        <v>18.101933598375624</v>
      </c>
      <c r="D17" s="10">
        <f t="shared" si="0"/>
        <v>21.526948230495101</v>
      </c>
      <c r="E17" s="4">
        <f t="shared" si="6"/>
        <v>3.0693055563455309</v>
      </c>
      <c r="F17" s="16">
        <v>5.0000000000000002E-5</v>
      </c>
      <c r="G17" s="32">
        <f t="shared" si="1"/>
        <v>1.8198048514696682E-2</v>
      </c>
      <c r="H17" s="35">
        <v>2.1000000000000001E-2</v>
      </c>
      <c r="I17" s="17">
        <f t="shared" si="2"/>
        <v>3.7701696880676462E-2</v>
      </c>
      <c r="J17" s="13">
        <f t="shared" si="3"/>
        <v>0.26116563218127586</v>
      </c>
    </row>
    <row r="18" spans="1:11" ht="18.75" customHeight="1">
      <c r="A18" s="77" t="s">
        <v>30</v>
      </c>
      <c r="B18" s="78"/>
      <c r="C18" s="78"/>
      <c r="D18" s="78"/>
      <c r="E18" s="79"/>
      <c r="F18" s="75">
        <f>SUM(F4:F17)*$C$1</f>
        <v>0.7660917192239699</v>
      </c>
      <c r="G18" s="33">
        <f>SUM(G4:G17)*$C$1</f>
        <v>2.0214299549262531</v>
      </c>
      <c r="H18" s="36">
        <f>SUM(H4:H17)*$C$1</f>
        <v>0.94815602828794943</v>
      </c>
      <c r="I18" s="22">
        <f>SUM(I4:I17)*$C$1</f>
        <v>1.0502249799288921</v>
      </c>
      <c r="J18" s="23">
        <f>SUM(J4:J17)*$C$1</f>
        <v>7.2750749570711504</v>
      </c>
    </row>
    <row r="19" spans="1:11" ht="15.75" customHeight="1" thickBot="1">
      <c r="K19" s="60" t="s">
        <v>12</v>
      </c>
    </row>
    <row r="20" spans="1:11" ht="16.5" customHeight="1" thickBot="1">
      <c r="F20" s="51" t="s">
        <v>11</v>
      </c>
      <c r="G20" s="18"/>
      <c r="H20" s="37">
        <f>3/2*H18/G18</f>
        <v>0.70357819669482979</v>
      </c>
      <c r="I20" s="53">
        <f>3/2*I18/G18</f>
        <v>0.77931835632207724</v>
      </c>
      <c r="J20" s="54">
        <f>3/2*J18/G18</f>
        <v>5.3984618210552071</v>
      </c>
      <c r="K20" s="61">
        <f>EXP(SUMPRODUCT(H4:H17,E4:E17)/SUM(H4:H17))</f>
        <v>6.5079198156846214</v>
      </c>
    </row>
    <row r="21" spans="1:11" ht="19.2" thickBot="1">
      <c r="C21" s="19" t="s">
        <v>4</v>
      </c>
      <c r="D21" s="20"/>
      <c r="E21" s="20"/>
      <c r="F21" s="21"/>
      <c r="G21" s="50">
        <f>SUMPRODUCT(D4:D17,G4:G17)/SUM(G4:G17)</f>
        <v>5.3984618210552089</v>
      </c>
      <c r="I21" s="52" t="s">
        <v>5</v>
      </c>
      <c r="J21" s="55">
        <f>100*(J20-I20)/I20</f>
        <v>592.71585575537586</v>
      </c>
    </row>
    <row r="22" spans="1:11" ht="15">
      <c r="C22" s="24"/>
      <c r="D22" s="25"/>
      <c r="E22" s="25"/>
      <c r="F22" s="48" t="s">
        <v>9</v>
      </c>
      <c r="G22" s="26">
        <f>I20/2</f>
        <v>0.38965917816103862</v>
      </c>
    </row>
    <row r="23" spans="1:11" ht="15.6">
      <c r="C23" s="27"/>
      <c r="D23" s="28" t="s">
        <v>3</v>
      </c>
      <c r="E23" s="29">
        <v>0.5</v>
      </c>
      <c r="F23" s="49" t="s">
        <v>10</v>
      </c>
      <c r="G23" s="30">
        <f>2*PI()*G22/E23</f>
        <v>4.8966016460582216</v>
      </c>
      <c r="I23" s="56" t="s">
        <v>6</v>
      </c>
      <c r="J23" s="7">
        <v>0.95389999999999997</v>
      </c>
    </row>
    <row r="24" spans="1:11" ht="15.75" customHeight="1">
      <c r="I24" s="57" t="s">
        <v>7</v>
      </c>
      <c r="J24" s="6">
        <v>12.62</v>
      </c>
    </row>
    <row r="25" spans="1:11" ht="15.6">
      <c r="D25" s="11" t="s">
        <v>1</v>
      </c>
      <c r="I25" s="58" t="s">
        <v>8</v>
      </c>
      <c r="J25" s="59">
        <f>6/PI()*(J23/J24)</f>
        <v>0.1443593345946361</v>
      </c>
    </row>
    <row r="26" spans="1:11" ht="16.5" customHeight="1">
      <c r="B26" s="68"/>
      <c r="D26" s="11" t="s">
        <v>2</v>
      </c>
    </row>
  </sheetData>
  <mergeCells count="1">
    <mergeCell ref="A18:E18"/>
  </mergeCell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3"/>
  <sheetViews>
    <sheetView tabSelected="1" workbookViewId="0">
      <selection activeCell="S7" sqref="S7"/>
    </sheetView>
  </sheetViews>
  <sheetFormatPr defaultRowHeight="14.4"/>
  <cols>
    <col min="6" max="6" width="11.88671875" customWidth="1"/>
    <col min="7" max="9" width="5.6640625" customWidth="1"/>
    <col min="10" max="10" width="4" customWidth="1"/>
    <col min="11" max="13" width="5.6640625" customWidth="1"/>
  </cols>
  <sheetData>
    <row r="1" spans="1:13">
      <c r="A1" t="s">
        <v>21</v>
      </c>
    </row>
    <row r="2" spans="1:13">
      <c r="G2" s="74"/>
      <c r="H2" s="74"/>
    </row>
    <row r="3" spans="1:13">
      <c r="G3" s="76"/>
      <c r="H3" s="74"/>
    </row>
    <row r="5" spans="1:13" ht="15.6">
      <c r="G5" s="70" t="s">
        <v>22</v>
      </c>
      <c r="H5" s="70" t="s">
        <v>23</v>
      </c>
      <c r="I5" s="70" t="s">
        <v>24</v>
      </c>
      <c r="J5" s="71" t="s">
        <v>3</v>
      </c>
      <c r="K5" s="70" t="s">
        <v>25</v>
      </c>
      <c r="L5" s="70" t="s">
        <v>26</v>
      </c>
      <c r="M5" s="73" t="s">
        <v>27</v>
      </c>
    </row>
    <row r="6" spans="1:13">
      <c r="E6" s="69" t="s">
        <v>29</v>
      </c>
      <c r="F6" s="69"/>
      <c r="G6" s="72">
        <v>1.25</v>
      </c>
      <c r="H6" s="72">
        <v>1.25</v>
      </c>
      <c r="I6" s="72">
        <f t="shared" ref="I6:I9" si="0">SQRT(G6^2-H6^2)/G6</f>
        <v>0</v>
      </c>
      <c r="J6" s="72">
        <f>G6/H6</f>
        <v>1</v>
      </c>
      <c r="K6" s="72">
        <f>4*PI()*G6^2</f>
        <v>19.634954084936208</v>
      </c>
      <c r="L6" s="72">
        <f>4/3*PI()*G6*H6^2</f>
        <v>8.1812308687234179</v>
      </c>
      <c r="M6" s="72">
        <f t="shared" ref="M6:M9" si="1">2*SQRT(K6/PI())</f>
        <v>5</v>
      </c>
    </row>
    <row r="7" spans="1:13">
      <c r="E7" s="80" t="s">
        <v>28</v>
      </c>
      <c r="F7" s="81"/>
      <c r="G7" s="72">
        <f>0.5*G$8</f>
        <v>0.75</v>
      </c>
      <c r="H7" s="72">
        <f>0.5*H$8</f>
        <v>0.5</v>
      </c>
      <c r="I7" s="72">
        <f>SQRT(G7^2-H7^2)/G7</f>
        <v>0.7453559924999299</v>
      </c>
      <c r="J7" s="72">
        <f>G7/H7</f>
        <v>1.5</v>
      </c>
      <c r="K7" s="72">
        <f>2*PI()*(H7^2 + G7*H7*ASIN(I7)/I7)</f>
        <v>4.2295545408649931</v>
      </c>
      <c r="L7" s="72">
        <f>4/3*PI()*G7*H7^2</f>
        <v>0.78539816339744828</v>
      </c>
      <c r="M7" s="72">
        <f>2*SQRT(K7/PI())</f>
        <v>2.3206111475306423</v>
      </c>
    </row>
    <row r="8" spans="1:13">
      <c r="G8" s="72">
        <v>1.5</v>
      </c>
      <c r="H8" s="72">
        <v>1</v>
      </c>
      <c r="I8" s="72">
        <f>SQRT(G8^2-H8^2)/G8</f>
        <v>0.7453559924999299</v>
      </c>
      <c r="J8" s="72">
        <f>G8/H8</f>
        <v>1.5</v>
      </c>
      <c r="K8" s="72">
        <f>2*PI()*(H8^2 + G8*H8*ASIN(I8)/I8)</f>
        <v>16.918218163459972</v>
      </c>
      <c r="L8" s="72">
        <f>4/3*PI()*G8*H8^2</f>
        <v>6.2831853071795862</v>
      </c>
      <c r="M8" s="72">
        <f>2*SQRT(K8/PI())</f>
        <v>4.6412222950612847</v>
      </c>
    </row>
    <row r="9" spans="1:13">
      <c r="G9" s="72">
        <f>2*G$8</f>
        <v>3</v>
      </c>
      <c r="H9" s="72">
        <f>2*H$8</f>
        <v>2</v>
      </c>
      <c r="I9" s="72">
        <f t="shared" si="0"/>
        <v>0.7453559924999299</v>
      </c>
      <c r="J9" s="72">
        <f t="shared" ref="J9" si="2">G9/H9</f>
        <v>1.5</v>
      </c>
      <c r="K9" s="72">
        <f>2*PI()*(H9^2 + G9*H9*ASIN(I9)/I9)</f>
        <v>67.672872653839889</v>
      </c>
      <c r="L9" s="72">
        <f t="shared" ref="L9" si="3">4/3*PI()*G9*H9^2</f>
        <v>50.26548245743669</v>
      </c>
      <c r="M9" s="72">
        <f t="shared" si="1"/>
        <v>9.2824445901225694</v>
      </c>
    </row>
    <row r="11" spans="1:13">
      <c r="F11" t="s">
        <v>31</v>
      </c>
    </row>
    <row r="13" spans="1:13">
      <c r="F13" t="s">
        <v>2</v>
      </c>
    </row>
  </sheetData>
  <mergeCells count="1">
    <mergeCell ref="E7:F7"/>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D_eff_calcs</vt:lpstr>
      <vt:lpstr>Deff_prolate_ellipsoid_comment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Norman T. O'Neill</dc:creator>
  <cp:lastModifiedBy>Seyed Ali Sayedain</cp:lastModifiedBy>
  <dcterms:created xsi:type="dcterms:W3CDTF">2023-05-13T14:23:10Z</dcterms:created>
  <dcterms:modified xsi:type="dcterms:W3CDTF">2024-04-05T16:08:06Z</dcterms:modified>
</cp:coreProperties>
</file>